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F:\ddmdir\Jaarverslag CDZ\Jaarverslag 2021\"/>
    </mc:Choice>
  </mc:AlternateContent>
  <xr:revisionPtr revIDLastSave="0" documentId="13_ncr:1_{D89E81A3-18C8-4EE6-8D49-895B316C4333}" xr6:coauthVersionLast="3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ilan - actif" sheetId="1" r:id="rId1"/>
    <sheet name="Bilan -passif" sheetId="2" r:id="rId2"/>
    <sheet name="Compte de résultat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2" l="1"/>
  <c r="L68" i="3" l="1"/>
  <c r="L85" i="3" s="1"/>
  <c r="L54" i="3"/>
  <c r="L47" i="3"/>
  <c r="L37" i="3"/>
  <c r="L33" i="3"/>
  <c r="L24" i="3"/>
  <c r="L11" i="3"/>
  <c r="L19" i="3" s="1"/>
  <c r="L83" i="3" s="1"/>
  <c r="L7" i="3"/>
  <c r="Q39" i="2"/>
  <c r="Q21" i="2"/>
  <c r="Q7" i="2"/>
  <c r="Q8" i="2"/>
  <c r="Q17" i="2"/>
  <c r="Q10" i="1"/>
  <c r="Q24" i="1"/>
  <c r="Q42" i="1"/>
  <c r="Q31" i="1"/>
  <c r="Q29" i="1" s="1"/>
  <c r="Q27" i="1" s="1"/>
  <c r="Q19" i="1"/>
  <c r="Q17" i="1" s="1"/>
  <c r="Q28" i="2" l="1"/>
  <c r="Q20" i="2" s="1"/>
  <c r="Q47" i="2" s="1"/>
  <c r="Q8" i="1"/>
  <c r="Q49" i="1" s="1"/>
  <c r="L58" i="3"/>
  <c r="L84" i="3" s="1"/>
  <c r="L88" i="3" s="1"/>
  <c r="L95" i="3" s="1"/>
  <c r="L103" i="3" s="1"/>
  <c r="K68" i="3" l="1"/>
  <c r="K85" i="3" s="1"/>
  <c r="K54" i="3"/>
  <c r="K47" i="3"/>
  <c r="K37" i="3"/>
  <c r="K33" i="3"/>
  <c r="K24" i="3"/>
  <c r="K11" i="3"/>
  <c r="K7" i="3"/>
  <c r="P31" i="2"/>
  <c r="P28" i="2" s="1"/>
  <c r="P20" i="2" s="1"/>
  <c r="O31" i="2"/>
  <c r="N31" i="2"/>
  <c r="P39" i="2"/>
  <c r="P21" i="2"/>
  <c r="P17" i="2"/>
  <c r="P8" i="2"/>
  <c r="P7" i="2" s="1"/>
  <c r="P42" i="1"/>
  <c r="P31" i="1"/>
  <c r="P29" i="1" s="1"/>
  <c r="P27" i="1" s="1"/>
  <c r="P24" i="1"/>
  <c r="P19" i="1"/>
  <c r="P17" i="1" s="1"/>
  <c r="P10" i="1"/>
  <c r="K19" i="3" l="1"/>
  <c r="K83" i="3" s="1"/>
  <c r="K58" i="3"/>
  <c r="K84" i="3" s="1"/>
  <c r="K88" i="3" s="1"/>
  <c r="K95" i="3" s="1"/>
  <c r="K103" i="3" s="1"/>
  <c r="P8" i="1"/>
  <c r="P49" i="1" s="1"/>
  <c r="P47" i="2"/>
  <c r="J54" i="3" l="1"/>
  <c r="J47" i="3"/>
  <c r="J37" i="3"/>
  <c r="J11" i="3"/>
  <c r="J7" i="3"/>
  <c r="O8" i="2"/>
  <c r="O7" i="2" s="1"/>
  <c r="N8" i="2"/>
  <c r="N7" i="2" s="1"/>
  <c r="M8" i="2"/>
  <c r="N10" i="1"/>
  <c r="M10" i="1"/>
  <c r="O10" i="1"/>
  <c r="J68" i="3" l="1"/>
  <c r="J85" i="3" s="1"/>
  <c r="J33" i="3"/>
  <c r="J24" i="3"/>
  <c r="O39" i="2"/>
  <c r="O28" i="2" s="1"/>
  <c r="O21" i="2"/>
  <c r="O17" i="2"/>
  <c r="O42" i="1"/>
  <c r="O31" i="1"/>
  <c r="O29" i="1" s="1"/>
  <c r="O24" i="1"/>
  <c r="O19" i="1"/>
  <c r="O17" i="1" s="1"/>
  <c r="O8" i="1" s="1"/>
  <c r="O20" i="2" l="1"/>
  <c r="O27" i="1"/>
  <c r="O49" i="1" s="1"/>
  <c r="J58" i="3"/>
  <c r="J84" i="3" s="1"/>
  <c r="J19" i="3"/>
  <c r="J83" i="3" s="1"/>
  <c r="J88" i="3" s="1"/>
  <c r="O47" i="2"/>
  <c r="N21" i="2"/>
  <c r="M21" i="2"/>
  <c r="J95" i="3" l="1"/>
  <c r="J103" i="3" s="1"/>
  <c r="I100" i="3"/>
  <c r="I98" i="3"/>
  <c r="I94" i="3"/>
  <c r="I76" i="3"/>
  <c r="I75" i="3"/>
  <c r="I73" i="3" s="1"/>
  <c r="I64" i="3"/>
  <c r="I63" i="3"/>
  <c r="I68" i="3" s="1"/>
  <c r="I85" i="3" s="1"/>
  <c r="I56" i="3"/>
  <c r="I55" i="3"/>
  <c r="I36" i="3"/>
  <c r="I35" i="3"/>
  <c r="I34" i="3"/>
  <c r="I32" i="3"/>
  <c r="I31" i="3"/>
  <c r="I29" i="3"/>
  <c r="I28" i="3"/>
  <c r="I27" i="3"/>
  <c r="I24" i="3"/>
  <c r="I11" i="3"/>
  <c r="I8" i="3"/>
  <c r="N39" i="2"/>
  <c r="N28" i="2" s="1"/>
  <c r="N20" i="2" s="1"/>
  <c r="N17" i="2"/>
  <c r="N42" i="1"/>
  <c r="N31" i="1"/>
  <c r="N29" i="1" s="1"/>
  <c r="N27" i="1" s="1"/>
  <c r="N24" i="1"/>
  <c r="N19" i="1"/>
  <c r="N17" i="1" s="1"/>
  <c r="N8" i="1" l="1"/>
  <c r="I33" i="3"/>
  <c r="N47" i="2"/>
  <c r="I78" i="3"/>
  <c r="I86" i="3" s="1"/>
  <c r="N49" i="1"/>
  <c r="I19" i="3"/>
  <c r="I83" i="3" s="1"/>
  <c r="I54" i="3"/>
  <c r="I58" i="3"/>
  <c r="I84" i="3" s="1"/>
  <c r="H73" i="3"/>
  <c r="G73" i="3"/>
  <c r="F73" i="3"/>
  <c r="H54" i="3"/>
  <c r="G54" i="3"/>
  <c r="F54" i="3"/>
  <c r="H33" i="3"/>
  <c r="G33" i="3"/>
  <c r="F33" i="3"/>
  <c r="H24" i="3"/>
  <c r="G24" i="3"/>
  <c r="F24" i="3"/>
  <c r="H11" i="3"/>
  <c r="G11" i="3"/>
  <c r="F11" i="3"/>
  <c r="H7" i="3"/>
  <c r="G7" i="3"/>
  <c r="F7" i="3"/>
  <c r="F58" i="3" l="1"/>
  <c r="G58" i="3"/>
  <c r="I88" i="3"/>
  <c r="I95" i="3" s="1"/>
  <c r="I103" i="3" s="1"/>
  <c r="H58" i="3"/>
  <c r="L42" i="1"/>
  <c r="K31" i="2" l="1"/>
  <c r="L31" i="2"/>
  <c r="M31" i="2"/>
  <c r="K8" i="2" l="1"/>
  <c r="K14" i="2"/>
  <c r="K17" i="2"/>
  <c r="K21" i="2"/>
  <c r="K39" i="2"/>
  <c r="K28" i="2" s="1"/>
  <c r="K10" i="1"/>
  <c r="K19" i="1"/>
  <c r="K17" i="1" s="1"/>
  <c r="K24" i="1"/>
  <c r="K31" i="1"/>
  <c r="K29" i="1" s="1"/>
  <c r="K42" i="1"/>
  <c r="K8" i="1" l="1"/>
  <c r="K20" i="2"/>
  <c r="K7" i="2"/>
  <c r="K27" i="1"/>
  <c r="K49" i="1" s="1"/>
  <c r="L10" i="1"/>
  <c r="L39" i="2"/>
  <c r="L28" i="2" s="1"/>
  <c r="M39" i="2"/>
  <c r="M28" i="2" s="1"/>
  <c r="L21" i="2"/>
  <c r="L17" i="2"/>
  <c r="M17" i="2"/>
  <c r="L14" i="2"/>
  <c r="M14" i="2"/>
  <c r="M7" i="2" s="1"/>
  <c r="L8" i="2"/>
  <c r="M42" i="1"/>
  <c r="L31" i="1"/>
  <c r="L29" i="1" s="1"/>
  <c r="L27" i="1" s="1"/>
  <c r="M31" i="1"/>
  <c r="M29" i="1" s="1"/>
  <c r="L24" i="1"/>
  <c r="M24" i="1"/>
  <c r="L19" i="1"/>
  <c r="L17" i="1" s="1"/>
  <c r="M19" i="1"/>
  <c r="M17" i="1" s="1"/>
  <c r="M8" i="1" s="1"/>
  <c r="L49" i="1" l="1"/>
  <c r="K47" i="2"/>
  <c r="L8" i="1"/>
  <c r="M27" i="1"/>
  <c r="M49" i="1" s="1"/>
  <c r="F78" i="3"/>
  <c r="F86" i="3" s="1"/>
  <c r="G78" i="3"/>
  <c r="G86" i="3" s="1"/>
  <c r="G84" i="3"/>
  <c r="F68" i="3"/>
  <c r="F85" i="3" s="1"/>
  <c r="H78" i="3"/>
  <c r="H86" i="3" s="1"/>
  <c r="G68" i="3"/>
  <c r="G85" i="3" s="1"/>
  <c r="H68" i="3"/>
  <c r="H85" i="3" s="1"/>
  <c r="M20" i="2"/>
  <c r="L7" i="2"/>
  <c r="L20" i="2"/>
  <c r="L47" i="2" l="1"/>
  <c r="M47" i="2"/>
  <c r="F19" i="3"/>
  <c r="F83" i="3" s="1"/>
  <c r="F84" i="3"/>
  <c r="G19" i="3"/>
  <c r="G83" i="3" s="1"/>
  <c r="G88" i="3" s="1"/>
  <c r="G95" i="3" s="1"/>
  <c r="G103" i="3" s="1"/>
  <c r="H19" i="3"/>
  <c r="H83" i="3" s="1"/>
  <c r="H84" i="3"/>
  <c r="F88" i="3" l="1"/>
  <c r="F95" i="3" s="1"/>
  <c r="F103" i="3" s="1"/>
  <c r="H88" i="3"/>
  <c r="H95" i="3" l="1"/>
  <c r="H103" i="3" l="1"/>
</calcChain>
</file>

<file path=xl/sharedStrings.xml><?xml version="1.0" encoding="utf-8"?>
<sst xmlns="http://schemas.openxmlformats.org/spreadsheetml/2006/main" count="336" uniqueCount="258">
  <si>
    <t>Codes</t>
  </si>
  <si>
    <t>I.</t>
  </si>
  <si>
    <t>II.</t>
  </si>
  <si>
    <t>III.</t>
  </si>
  <si>
    <t>22/26</t>
  </si>
  <si>
    <t xml:space="preserve">IV. </t>
  </si>
  <si>
    <t>280/1</t>
  </si>
  <si>
    <t>284/8</t>
  </si>
  <si>
    <t xml:space="preserve">V. </t>
  </si>
  <si>
    <t>291/5</t>
  </si>
  <si>
    <t>298/9</t>
  </si>
  <si>
    <t>31/58</t>
  </si>
  <si>
    <t xml:space="preserve">VI.  </t>
  </si>
  <si>
    <t xml:space="preserve">VII. </t>
  </si>
  <si>
    <t>40/47</t>
  </si>
  <si>
    <t>400/2</t>
  </si>
  <si>
    <t>471/4</t>
  </si>
  <si>
    <t xml:space="preserve">VIII. </t>
  </si>
  <si>
    <t>51/53</t>
  </si>
  <si>
    <t xml:space="preserve">IX. </t>
  </si>
  <si>
    <t>54/58</t>
  </si>
  <si>
    <t>490/1</t>
  </si>
  <si>
    <t>20/58</t>
  </si>
  <si>
    <t xml:space="preserve"> </t>
  </si>
  <si>
    <t>13/14</t>
  </si>
  <si>
    <t>1313/95</t>
  </si>
  <si>
    <t xml:space="preserve">II. </t>
  </si>
  <si>
    <t>(-)</t>
  </si>
  <si>
    <t>1413/95</t>
  </si>
  <si>
    <t xml:space="preserve">III. </t>
  </si>
  <si>
    <t>165/9</t>
  </si>
  <si>
    <t>17/49</t>
  </si>
  <si>
    <t>17/19</t>
  </si>
  <si>
    <t>172/4</t>
  </si>
  <si>
    <t>175/9</t>
  </si>
  <si>
    <t xml:space="preserve">VI. </t>
  </si>
  <si>
    <t>43/48</t>
  </si>
  <si>
    <t>440/5</t>
  </si>
  <si>
    <t>451/3</t>
  </si>
  <si>
    <t>454/9</t>
  </si>
  <si>
    <t xml:space="preserve">471/4  </t>
  </si>
  <si>
    <t>492/3</t>
  </si>
  <si>
    <t>13/49</t>
  </si>
  <si>
    <t>2014</t>
  </si>
  <si>
    <t>2015</t>
  </si>
  <si>
    <t>2016</t>
  </si>
  <si>
    <t>A.</t>
  </si>
  <si>
    <t>(+)</t>
  </si>
  <si>
    <t>B.</t>
  </si>
  <si>
    <t>(-) (+)</t>
  </si>
  <si>
    <t>IV.</t>
  </si>
  <si>
    <t>607, 707</t>
  </si>
  <si>
    <t>V.</t>
  </si>
  <si>
    <t>703/5, 709</t>
  </si>
  <si>
    <t>VI.</t>
  </si>
  <si>
    <t>605, 609</t>
  </si>
  <si>
    <t/>
  </si>
  <si>
    <t>70/60</t>
  </si>
  <si>
    <t>VIII.</t>
  </si>
  <si>
    <t>X.</t>
  </si>
  <si>
    <t>XI.</t>
  </si>
  <si>
    <t>(-)(+)</t>
  </si>
  <si>
    <t>XII.</t>
  </si>
  <si>
    <t>630, 6391</t>
  </si>
  <si>
    <t>XIII.</t>
  </si>
  <si>
    <t>631/3, 6392</t>
  </si>
  <si>
    <t>XIV.</t>
  </si>
  <si>
    <t>635/7</t>
  </si>
  <si>
    <t>XV.</t>
  </si>
  <si>
    <t>732/9</t>
  </si>
  <si>
    <t>XVI.</t>
  </si>
  <si>
    <t>640/8</t>
  </si>
  <si>
    <t>70/64</t>
  </si>
  <si>
    <t>XIX.</t>
  </si>
  <si>
    <t>70/65</t>
  </si>
  <si>
    <t>XXI.</t>
  </si>
  <si>
    <t>760/4, 769</t>
  </si>
  <si>
    <t>XXII.</t>
  </si>
  <si>
    <t>70/66</t>
  </si>
  <si>
    <t>699/799</t>
  </si>
  <si>
    <t>70/69</t>
  </si>
  <si>
    <t>Assurance complémentaire</t>
  </si>
  <si>
    <t>SECTION 1 : BILAN</t>
  </si>
  <si>
    <t>ACTIF</t>
  </si>
  <si>
    <t>Actifs immobilisés</t>
  </si>
  <si>
    <t>Frais d'établissement</t>
  </si>
  <si>
    <t>Immobilisations incorporelles</t>
  </si>
  <si>
    <t>Immobilisations corporelles</t>
  </si>
  <si>
    <t>A. Terrains et constructions</t>
  </si>
  <si>
    <t>C. Mobilier, matériel et matériel roulant</t>
  </si>
  <si>
    <t>D. Location-financement et droits similaires</t>
  </si>
  <si>
    <t xml:space="preserve">E. Autres immobilisations corporelles, immobilisations </t>
  </si>
  <si>
    <t xml:space="preserve">     corporelles en cours et acomptes versés</t>
  </si>
  <si>
    <t>Immobilisations financières</t>
  </si>
  <si>
    <t xml:space="preserve">A. Entités liées et entités avec lesquelles il existe un accord de </t>
  </si>
  <si>
    <t xml:space="preserve">     collaboration</t>
  </si>
  <si>
    <t>1. Participations</t>
  </si>
  <si>
    <t>2. Créances</t>
  </si>
  <si>
    <t xml:space="preserve">B. Autres immobilisations financières, autres créances et </t>
  </si>
  <si>
    <t xml:space="preserve">     cautionnements en numéraire</t>
  </si>
  <si>
    <t>Créances à plus dun an</t>
  </si>
  <si>
    <t>A. Créances sur les entités mutualistes</t>
  </si>
  <si>
    <t>B. Autres créances</t>
  </si>
  <si>
    <t>B. Installations, machines et équipements</t>
  </si>
  <si>
    <t>Actifs circulants</t>
  </si>
  <si>
    <t>Stocks</t>
  </si>
  <si>
    <t>Créances à un an au plus</t>
  </si>
  <si>
    <t xml:space="preserve">A. Créances relatives aux prestations, subventions, cotisations </t>
  </si>
  <si>
    <t xml:space="preserve">     et à la suite de mutations</t>
  </si>
  <si>
    <t>C. Créances sur les entités mutualistes</t>
  </si>
  <si>
    <t>D. Autres créances</t>
  </si>
  <si>
    <t>E. Dépenses à traiter</t>
  </si>
  <si>
    <t>Placements de trésorerie</t>
  </si>
  <si>
    <t>A. Titres à revenu fixe</t>
  </si>
  <si>
    <t>B. Comptes à terme auprès détablissements de crédit</t>
  </si>
  <si>
    <t>C. Autres placements de trésorerie</t>
  </si>
  <si>
    <t>Valeurs disponibles</t>
  </si>
  <si>
    <t xml:space="preserve">X.   </t>
  </si>
  <si>
    <t>Comptes de régularisation</t>
  </si>
  <si>
    <t>SECTION 1 : BILAN (suite)</t>
  </si>
  <si>
    <t>PASSIF</t>
  </si>
  <si>
    <t xml:space="preserve">I.   </t>
  </si>
  <si>
    <t>A. des services</t>
  </si>
  <si>
    <t>B. du centre administratif</t>
  </si>
  <si>
    <t>Déficit cumulé</t>
  </si>
  <si>
    <t>Provisions</t>
  </si>
  <si>
    <t xml:space="preserve">Provisions pour risques et charges </t>
  </si>
  <si>
    <t>Dettes</t>
  </si>
  <si>
    <t>Dettes à plus dun an</t>
  </si>
  <si>
    <t xml:space="preserve">A. Dettes financières </t>
  </si>
  <si>
    <t>B. Epargne prénuptiale - capitaux versés</t>
  </si>
  <si>
    <t xml:space="preserve">C. Dettes envers des entités mutualistes </t>
  </si>
  <si>
    <t>D. Autres dettes à plus dun an</t>
  </si>
  <si>
    <t xml:space="preserve">      prénuptiale et des dettes envers les entités mutualistes)</t>
  </si>
  <si>
    <t>Dettes à un an au plus</t>
  </si>
  <si>
    <t xml:space="preserve">B. Dettes relatives aux prestations, aux cotisations et à la </t>
  </si>
  <si>
    <t xml:space="preserve">     suite de mutations</t>
  </si>
  <si>
    <t>1. Dettes relatives aux prestations</t>
  </si>
  <si>
    <t>2. Cotisations à rembourser</t>
  </si>
  <si>
    <t>3. Cotisations à traiter</t>
  </si>
  <si>
    <t>5. Epargne prénuptiale : dettes à la suite de mutations</t>
  </si>
  <si>
    <t>6. Autres dettes</t>
  </si>
  <si>
    <t>C. Dettes fiscales, salariales et sociales</t>
  </si>
  <si>
    <t>1. Impôts</t>
  </si>
  <si>
    <t>2. Rémunérations et charges sociales</t>
  </si>
  <si>
    <t>E. Dettes envers des entités mutualistes</t>
  </si>
  <si>
    <t>F. Autres dettes</t>
  </si>
  <si>
    <t>Total du passif</t>
  </si>
  <si>
    <t>SECTION 2  : COMPTE DE RESULTATS</t>
  </si>
  <si>
    <t>RESULTATS TECHNIQUES</t>
  </si>
  <si>
    <t>Prestations</t>
  </si>
  <si>
    <t>Provisions techniques</t>
  </si>
  <si>
    <t>Autres produits techniques</t>
  </si>
  <si>
    <t>Autres charges techniques</t>
  </si>
  <si>
    <t>Résultats techniques (I à VI)</t>
  </si>
  <si>
    <t>Réductions de valeur, moins-values et plus-values</t>
  </si>
  <si>
    <t>Prestations aux membres</t>
  </si>
  <si>
    <t>RESULTATS DE FONCTIONNEMENT</t>
  </si>
  <si>
    <t>Services, biens et charges divers</t>
  </si>
  <si>
    <t>Rémunérations, charges sociales, et pensions</t>
  </si>
  <si>
    <t>Amortissements et réductions de valeur sur actifs immobilisés</t>
  </si>
  <si>
    <t>Réductions de valeur sur actifs circulants, autres que créances</t>
  </si>
  <si>
    <t>résultant de cotisations</t>
  </si>
  <si>
    <t>Provisions pour risques et charges</t>
  </si>
  <si>
    <t>Autres produits dexploitation</t>
  </si>
  <si>
    <t>Imputation de frais de fonctionnement à des tiers</t>
  </si>
  <si>
    <t>RESULTATS FINANCIERS</t>
  </si>
  <si>
    <t>Produits financiers</t>
  </si>
  <si>
    <t>Charges financières</t>
  </si>
  <si>
    <t>Produits exceptionnels</t>
  </si>
  <si>
    <t>B. Autres produits exceptionnels</t>
  </si>
  <si>
    <t>Charges exceptionnelles</t>
  </si>
  <si>
    <t>Résultats exceptionnels (XXI à XXII)</t>
  </si>
  <si>
    <t>XXIV. EVOLUTION DU FONDS DE ROULEMENT OU DU DEFICIT CUMULE</t>
  </si>
  <si>
    <t>A. Fonds de roulement (+) ou déficit cumulé (-)</t>
  </si>
  <si>
    <t xml:space="preserve">E. Fonds de roulement (+) ou déficit (-) cumulé  </t>
  </si>
  <si>
    <t>C. Transfert de fonds de roulement des services ou vers ceux-ci</t>
  </si>
  <si>
    <t>Subventions de l'Etat</t>
  </si>
  <si>
    <t>Cotisations</t>
  </si>
  <si>
    <t>Cotisations réclamées</t>
  </si>
  <si>
    <t>Cotisations administratives</t>
  </si>
  <si>
    <t>Boni (+), Mali (-) de l'exercice</t>
  </si>
  <si>
    <t xml:space="preserve">      en début d'exercice</t>
  </si>
  <si>
    <t xml:space="preserve">     en fin d'exercice</t>
  </si>
  <si>
    <t xml:space="preserve">        l'assurance maladie-invalidité obligatoire</t>
  </si>
  <si>
    <t>Autres produits d'exploitation</t>
  </si>
  <si>
    <t>Autres charges d'exploitation</t>
  </si>
  <si>
    <t>Frais de fonctionnement communs avec l'assurance obligatoire</t>
  </si>
  <si>
    <t>Imputation à l'assurance obligatoire</t>
  </si>
  <si>
    <t>Imputation par l'assurance obligatoire</t>
  </si>
  <si>
    <t>D. Dettes envers l'assurance obligatoire</t>
  </si>
  <si>
    <t>4. Capitaux échus relatifs à l'épargne prénuptiale</t>
  </si>
  <si>
    <t>B. Créances sur l'assurance obligatoire</t>
  </si>
  <si>
    <t xml:space="preserve">      (abstraction faite des dettes relatives à l'épargne </t>
  </si>
  <si>
    <t xml:space="preserve">    (abstraction faite de l'épargne prénuptiale)</t>
  </si>
  <si>
    <t>Provisions techniques relatives à l'épargne prénuptiale</t>
  </si>
  <si>
    <t xml:space="preserve">Transferts à des entités liées et à des entités avec lesquelles </t>
  </si>
  <si>
    <t xml:space="preserve">il existe un accord de collaboration  </t>
  </si>
  <si>
    <t>1. Créances afférentes aux prestations</t>
  </si>
  <si>
    <t>2. Subventions et interventions de l'Etat à recevoir</t>
  </si>
  <si>
    <t>3. Cotisations à recevoir</t>
  </si>
  <si>
    <t>4. Avances en faveur des membres</t>
  </si>
  <si>
    <t>5. Autres créances</t>
  </si>
  <si>
    <t>6. Epargne prénuptiale : créances à la suite de mutations</t>
  </si>
  <si>
    <t>D.1. Transfert du boni des frais d'administration de</t>
  </si>
  <si>
    <t>D.2. Prise en charge du mali des frais d'administration de</t>
  </si>
  <si>
    <t>Fonds de roulement</t>
  </si>
  <si>
    <t>2017</t>
  </si>
  <si>
    <t>Capitaux propres</t>
  </si>
  <si>
    <t xml:space="preserve">XVII. </t>
  </si>
  <si>
    <t>C.</t>
  </si>
  <si>
    <t>D.</t>
  </si>
  <si>
    <t>E.</t>
  </si>
  <si>
    <t>F.</t>
  </si>
  <si>
    <t>G.</t>
  </si>
  <si>
    <t xml:space="preserve">XVIII. </t>
  </si>
  <si>
    <t xml:space="preserve">XXIII. </t>
  </si>
  <si>
    <t>XXIV.</t>
  </si>
  <si>
    <t>XXV.</t>
  </si>
  <si>
    <t>2018</t>
  </si>
  <si>
    <t>A. des services (jusqu'à 2017)</t>
  </si>
  <si>
    <t>B. du centre administratif (jusqu'à 2017)</t>
  </si>
  <si>
    <t>A.  Services et centre administratif (à partir de 2018)</t>
  </si>
  <si>
    <t>B. Fonds spécial de réserve (à partir de 2018)</t>
  </si>
  <si>
    <t>Réserves épargne prénuptiale (à partir de 2018)</t>
  </si>
  <si>
    <t>Reprises d'amortissements et de réductions de valeur sur immobilisations</t>
  </si>
  <si>
    <t>incorporelles et corporelles</t>
  </si>
  <si>
    <t>Reprises de réductions de valeur sur immobilisations financières</t>
  </si>
  <si>
    <t>Utilisations et reprises de provisions pour risques et charges</t>
  </si>
  <si>
    <t>exceptionnels</t>
  </si>
  <si>
    <t>Plus-values sur réalisation d’actifs immobilisés</t>
  </si>
  <si>
    <t>Prise en charge du déficit par des tiers</t>
  </si>
  <si>
    <t>Transfert de patrimoine à titre gratuit par des tiers</t>
  </si>
  <si>
    <t>Autres produits d'exploitation non récurrents</t>
  </si>
  <si>
    <t>Amortissements et réductions de valeur exceptionnels sur frais</t>
  </si>
  <si>
    <t>d'établissement et sur immobilisations incorporelles et corporelles</t>
  </si>
  <si>
    <t>Réductions de valeur sur immobilisations financières (dotations)</t>
  </si>
  <si>
    <t>Provisions pour risques et charges exceptionnels (dotations)</t>
  </si>
  <si>
    <t>Moins-values sur réalisation d'actifs immobilisés</t>
  </si>
  <si>
    <t>Autres charges d'exploitation non récurrentes</t>
  </si>
  <si>
    <t>Produits financiers non récurrents (à partir de 2018)</t>
  </si>
  <si>
    <t>Charges financières non récurrentes (à partir de 2018)</t>
  </si>
  <si>
    <t>Charges d'exploitation non récurrentes (à partir de 2018)</t>
  </si>
  <si>
    <t>Produits d'exploitation non récurrents (à partir de 2018)</t>
  </si>
  <si>
    <t>RESULTATS EXCEPTIONNELS (JUSQU'A 2017)</t>
  </si>
  <si>
    <t>21/29</t>
  </si>
  <si>
    <t>Total de l'actif</t>
  </si>
  <si>
    <t>Résultats exceptionnels (XXI à XXII) (jusqu'à 2017)</t>
  </si>
  <si>
    <t>Résultats de fonctionnement (VIII à XIX)</t>
  </si>
  <si>
    <t>Résultats financiers (XXI à XXIV)</t>
  </si>
  <si>
    <t>XXIII. RESULTAT DE L'EXERCICE</t>
  </si>
  <si>
    <t>B. Boni (+), Mali (-) de l'exercice</t>
  </si>
  <si>
    <t>A. Transfert de patrimoine à titre gratuit par des tiers</t>
  </si>
  <si>
    <t>2019</t>
  </si>
  <si>
    <t>1313/982, 1413/982</t>
  </si>
  <si>
    <t>1390/1490</t>
  </si>
  <si>
    <t>1356/1456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</si>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</sst>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##0.00;###0.00"/>
  </numFmts>
  <fonts count="25" x14ac:knownFonts="1">
    <font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u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4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80808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3" fillId="0" borderId="2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4" fontId="1" fillId="0" borderId="9" xfId="0" applyNumberFormat="1" applyFont="1" applyBorder="1"/>
    <xf numFmtId="0" fontId="1" fillId="0" borderId="10" xfId="0" quotePrefix="1" applyFont="1" applyBorder="1" applyAlignment="1">
      <alignment horizontal="left"/>
    </xf>
    <xf numFmtId="0" fontId="1" fillId="0" borderId="0" xfId="0" applyFont="1" applyBorder="1"/>
    <xf numFmtId="0" fontId="1" fillId="0" borderId="0" xfId="0" quotePrefix="1" applyFont="1" applyBorder="1" applyAlignment="1">
      <alignment horizontal="left"/>
    </xf>
    <xf numFmtId="0" fontId="1" fillId="0" borderId="10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10" xfId="0" quotePrefix="1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5" fillId="0" borderId="0" xfId="0" applyFont="1" applyBorder="1"/>
    <xf numFmtId="4" fontId="5" fillId="0" borderId="9" xfId="0" applyNumberFormat="1" applyFont="1" applyBorder="1"/>
    <xf numFmtId="0" fontId="1" fillId="0" borderId="0" xfId="0" applyFont="1" applyFill="1" applyBorder="1"/>
    <xf numFmtId="0" fontId="1" fillId="0" borderId="8" xfId="0" applyFont="1" applyBorder="1"/>
    <xf numFmtId="0" fontId="6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2" xfId="0" applyFont="1" applyBorder="1"/>
    <xf numFmtId="0" fontId="1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/>
    <xf numFmtId="0" fontId="1" fillId="0" borderId="0" xfId="0" quotePrefix="1" applyFont="1" applyBorder="1"/>
    <xf numFmtId="0" fontId="1" fillId="0" borderId="6" xfId="0" quotePrefix="1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1" fillId="0" borderId="0" xfId="0" applyFont="1" applyAlignment="1"/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4" fillId="0" borderId="5" xfId="0" applyNumberFormat="1" applyFont="1" applyBorder="1"/>
    <xf numFmtId="4" fontId="4" fillId="0" borderId="9" xfId="0" applyNumberFormat="1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0" xfId="0" quotePrefix="1" applyFont="1" applyBorder="1" applyAlignment="1">
      <alignment horizontal="left"/>
    </xf>
    <xf numFmtId="4" fontId="7" fillId="0" borderId="9" xfId="0" applyNumberFormat="1" applyFont="1" applyBorder="1"/>
    <xf numFmtId="0" fontId="8" fillId="0" borderId="0" xfId="0" applyFont="1" applyBorder="1"/>
    <xf numFmtId="0" fontId="8" fillId="0" borderId="0" xfId="0" quotePrefix="1" applyFont="1" applyBorder="1" applyAlignment="1">
      <alignment horizontal="left"/>
    </xf>
    <xf numFmtId="0" fontId="9" fillId="0" borderId="0" xfId="0" applyFont="1" applyBorder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7" fillId="0" borderId="0" xfId="0" applyFont="1" applyFill="1" applyBorder="1"/>
    <xf numFmtId="4" fontId="4" fillId="0" borderId="5" xfId="0" applyNumberFormat="1" applyFont="1" applyBorder="1" applyAlignment="1"/>
    <xf numFmtId="0" fontId="9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8" fillId="0" borderId="0" xfId="0" applyFont="1"/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1" xfId="0" applyFont="1" applyBorder="1"/>
    <xf numFmtId="0" fontId="12" fillId="0" borderId="8" xfId="0" quotePrefix="1" applyFont="1" applyBorder="1" applyAlignment="1">
      <alignment horizontal="center"/>
    </xf>
    <xf numFmtId="0" fontId="12" fillId="0" borderId="7" xfId="0" quotePrefix="1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4" fontId="8" fillId="0" borderId="5" xfId="0" applyNumberFormat="1" applyFont="1" applyBorder="1" applyAlignment="1"/>
    <xf numFmtId="0" fontId="12" fillId="0" borderId="0" xfId="0" applyFont="1" applyAlignment="1"/>
    <xf numFmtId="0" fontId="8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9" xfId="0" applyNumberFormat="1" applyFont="1" applyBorder="1" applyAlignment="1"/>
    <xf numFmtId="0" fontId="8" fillId="0" borderId="9" xfId="0" applyFont="1" applyBorder="1" applyAlignment="1"/>
    <xf numFmtId="0" fontId="8" fillId="0" borderId="0" xfId="0" applyFont="1" applyBorder="1" applyAlignment="1"/>
    <xf numFmtId="0" fontId="8" fillId="0" borderId="9" xfId="0" applyFont="1" applyBorder="1"/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Continuous"/>
    </xf>
    <xf numFmtId="0" fontId="11" fillId="0" borderId="13" xfId="0" applyFont="1" applyBorder="1" applyAlignment="1"/>
    <xf numFmtId="0" fontId="8" fillId="0" borderId="14" xfId="0" applyFont="1" applyBorder="1"/>
    <xf numFmtId="0" fontId="8" fillId="0" borderId="3" xfId="0" applyFont="1" applyBorder="1" applyAlignment="1">
      <alignment horizontal="centerContinuous"/>
    </xf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8" fillId="0" borderId="16" xfId="0" applyFont="1" applyBorder="1"/>
    <xf numFmtId="0" fontId="12" fillId="0" borderId="3" xfId="0" applyFont="1" applyBorder="1" applyAlignment="1">
      <alignment vertical="center" wrapText="1"/>
    </xf>
    <xf numFmtId="0" fontId="8" fillId="0" borderId="8" xfId="0" applyFont="1" applyBorder="1"/>
    <xf numFmtId="0" fontId="12" fillId="0" borderId="0" xfId="0" applyFont="1" applyBorder="1"/>
    <xf numFmtId="0" fontId="11" fillId="0" borderId="13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4" fontId="8" fillId="0" borderId="9" xfId="0" applyNumberFormat="1" applyFont="1" applyBorder="1"/>
    <xf numFmtId="0" fontId="11" fillId="0" borderId="1" xfId="0" applyFont="1" applyBorder="1"/>
    <xf numFmtId="0" fontId="11" fillId="0" borderId="3" xfId="0" applyFont="1" applyBorder="1" applyAlignment="1"/>
    <xf numFmtId="0" fontId="8" fillId="0" borderId="3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/>
    </xf>
    <xf numFmtId="0" fontId="8" fillId="0" borderId="5" xfId="0" applyFont="1" applyBorder="1"/>
    <xf numFmtId="0" fontId="15" fillId="0" borderId="0" xfId="0" applyFont="1" applyBorder="1" applyAlignment="1">
      <alignment horizontal="centerContinuous"/>
    </xf>
    <xf numFmtId="0" fontId="16" fillId="0" borderId="13" xfId="0" quotePrefix="1" applyFont="1" applyBorder="1" applyAlignment="1">
      <alignment horizontal="left"/>
    </xf>
    <xf numFmtId="0" fontId="10" fillId="0" borderId="13" xfId="0" applyFont="1" applyBorder="1" applyAlignment="1">
      <alignment horizontal="centerContinuous"/>
    </xf>
    <xf numFmtId="0" fontId="12" fillId="0" borderId="14" xfId="0" applyFont="1" applyBorder="1"/>
    <xf numFmtId="0" fontId="12" fillId="0" borderId="15" xfId="0" applyFont="1" applyBorder="1"/>
    <xf numFmtId="4" fontId="11" fillId="0" borderId="9" xfId="0" applyNumberFormat="1" applyFont="1" applyBorder="1"/>
    <xf numFmtId="0" fontId="11" fillId="0" borderId="14" xfId="0" applyFont="1" applyBorder="1"/>
    <xf numFmtId="0" fontId="8" fillId="0" borderId="8" xfId="0" applyFont="1" applyFill="1" applyBorder="1"/>
    <xf numFmtId="4" fontId="8" fillId="0" borderId="5" xfId="0" applyNumberFormat="1" applyFont="1" applyBorder="1"/>
    <xf numFmtId="4" fontId="11" fillId="0" borderId="5" xfId="0" applyNumberFormat="1" applyFont="1" applyBorder="1"/>
    <xf numFmtId="49" fontId="8" fillId="0" borderId="3" xfId="0" applyNumberFormat="1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0" borderId="0" xfId="0" applyFont="1"/>
    <xf numFmtId="0" fontId="0" fillId="0" borderId="0" xfId="0" quotePrefix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9" fillId="0" borderId="0" xfId="0" quotePrefix="1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Border="1"/>
    <xf numFmtId="0" fontId="4" fillId="0" borderId="5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horizontal="right" wrapText="1"/>
    </xf>
    <xf numFmtId="4" fontId="0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/>
    <xf numFmtId="4" fontId="0" fillId="0" borderId="9" xfId="0" applyNumberFormat="1" applyFont="1" applyBorder="1"/>
    <xf numFmtId="0" fontId="0" fillId="0" borderId="9" xfId="0" applyFont="1" applyBorder="1"/>
    <xf numFmtId="0" fontId="0" fillId="0" borderId="8" xfId="0" applyFont="1" applyBorder="1"/>
    <xf numFmtId="0" fontId="0" fillId="0" borderId="14" xfId="0" applyFont="1" applyBorder="1"/>
    <xf numFmtId="0" fontId="1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9" xfId="0" applyNumberFormat="1" applyFont="1" applyBorder="1" applyAlignment="1"/>
    <xf numFmtId="0" fontId="1" fillId="0" borderId="11" xfId="0" applyFont="1" applyBorder="1"/>
    <xf numFmtId="0" fontId="7" fillId="0" borderId="11" xfId="0" applyFont="1" applyBorder="1"/>
    <xf numFmtId="0" fontId="1" fillId="0" borderId="11" xfId="0" applyFont="1" applyBorder="1" applyAlignment="1">
      <alignment horizontal="centerContinuous"/>
    </xf>
    <xf numFmtId="0" fontId="5" fillId="0" borderId="11" xfId="0" applyFont="1" applyBorder="1"/>
    <xf numFmtId="0" fontId="7" fillId="0" borderId="11" xfId="0" applyFont="1" applyFill="1" applyBorder="1"/>
    <xf numFmtId="4" fontId="0" fillId="0" borderId="14" xfId="0" applyNumberFormat="1" applyFont="1" applyBorder="1" applyAlignment="1"/>
    <xf numFmtId="0" fontId="0" fillId="0" borderId="0" xfId="0" applyFont="1"/>
    <xf numFmtId="0" fontId="0" fillId="0" borderId="0" xfId="0" applyFont="1" applyAlignment="1">
      <alignment vertical="top"/>
    </xf>
    <xf numFmtId="4" fontId="7" fillId="0" borderId="9" xfId="0" applyNumberFormat="1" applyFont="1" applyBorder="1" applyAlignment="1">
      <alignment horizontal="right"/>
    </xf>
    <xf numFmtId="4" fontId="7" fillId="0" borderId="9" xfId="0" applyNumberFormat="1" applyFont="1" applyFill="1" applyBorder="1" applyAlignment="1">
      <alignment horizontal="right" wrapText="1"/>
    </xf>
    <xf numFmtId="2" fontId="7" fillId="0" borderId="9" xfId="0" applyNumberFormat="1" applyFont="1" applyBorder="1"/>
    <xf numFmtId="0" fontId="7" fillId="0" borderId="9" xfId="0" applyFont="1" applyBorder="1"/>
    <xf numFmtId="4" fontId="0" fillId="2" borderId="9" xfId="0" applyNumberFormat="1" applyFont="1" applyFill="1" applyBorder="1"/>
    <xf numFmtId="4" fontId="1" fillId="2" borderId="9" xfId="0" applyNumberFormat="1" applyFont="1" applyFill="1" applyBorder="1"/>
    <xf numFmtId="4" fontId="8" fillId="2" borderId="9" xfId="0" applyNumberFormat="1" applyFont="1" applyFill="1" applyBorder="1" applyAlignment="1"/>
    <xf numFmtId="4" fontId="8" fillId="2" borderId="9" xfId="0" applyNumberFormat="1" applyFont="1" applyFill="1" applyBorder="1"/>
    <xf numFmtId="0" fontId="8" fillId="2" borderId="9" xfId="0" applyFont="1" applyFill="1" applyBorder="1"/>
    <xf numFmtId="4" fontId="19" fillId="2" borderId="9" xfId="0" applyNumberFormat="1" applyFont="1" applyFill="1" applyBorder="1" applyAlignment="1"/>
    <xf numFmtId="0" fontId="8" fillId="2" borderId="8" xfId="0" applyFont="1" applyFill="1" applyBorder="1"/>
    <xf numFmtId="4" fontId="11" fillId="2" borderId="9" xfId="0" applyNumberFormat="1" applyFont="1" applyFill="1" applyBorder="1"/>
    <xf numFmtId="0" fontId="8" fillId="2" borderId="14" xfId="0" applyFont="1" applyFill="1" applyBorder="1"/>
    <xf numFmtId="4" fontId="0" fillId="0" borderId="9" xfId="0" applyNumberFormat="1" applyFont="1" applyFill="1" applyBorder="1"/>
    <xf numFmtId="0" fontId="8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0" xfId="0" quotePrefix="1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quotePrefix="1" applyFont="1" applyFill="1" applyBorder="1" applyAlignment="1">
      <alignment horizontal="left"/>
    </xf>
    <xf numFmtId="0" fontId="18" fillId="0" borderId="0" xfId="0" applyFont="1" applyFill="1"/>
    <xf numFmtId="0" fontId="8" fillId="0" borderId="0" xfId="0" applyFont="1" applyFill="1"/>
    <xf numFmtId="0" fontId="11" fillId="0" borderId="2" xfId="0" applyFont="1" applyFill="1" applyBorder="1" applyAlignment="1">
      <alignment horizontal="left"/>
    </xf>
    <xf numFmtId="0" fontId="12" fillId="0" borderId="6" xfId="0" applyFont="1" applyFill="1" applyBorder="1"/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/>
    <xf numFmtId="0" fontId="8" fillId="0" borderId="6" xfId="0" applyFont="1" applyFill="1" applyBorder="1"/>
    <xf numFmtId="0" fontId="11" fillId="0" borderId="10" xfId="0" applyFont="1" applyFill="1" applyBorder="1" applyAlignment="1">
      <alignment horizontal="centerContinuous"/>
    </xf>
    <xf numFmtId="0" fontId="11" fillId="0" borderId="12" xfId="0" applyFont="1" applyFill="1" applyBorder="1" applyAlignment="1"/>
    <xf numFmtId="0" fontId="8" fillId="0" borderId="10" xfId="0" applyFont="1" applyFill="1" applyBorder="1"/>
    <xf numFmtId="0" fontId="11" fillId="0" borderId="2" xfId="0" applyFont="1" applyFill="1" applyBorder="1" applyAlignment="1">
      <alignment horizontal="centerContinuous"/>
    </xf>
    <xf numFmtId="0" fontId="9" fillId="0" borderId="12" xfId="0" applyFont="1" applyFill="1" applyBorder="1" applyAlignment="1">
      <alignment horizontal="centerContinuous"/>
    </xf>
    <xf numFmtId="0" fontId="9" fillId="0" borderId="16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12" xfId="0" applyFont="1" applyFill="1" applyBorder="1" applyAlignment="1"/>
    <xf numFmtId="0" fontId="8" fillId="0" borderId="0" xfId="0" applyFont="1" applyFill="1" applyBorder="1" applyAlignment="1"/>
    <xf numFmtId="0" fontId="12" fillId="0" borderId="2" xfId="0" applyFont="1" applyFill="1" applyBorder="1"/>
    <xf numFmtId="0" fontId="12" fillId="0" borderId="10" xfId="0" applyFont="1" applyFill="1" applyBorder="1"/>
    <xf numFmtId="0" fontId="11" fillId="0" borderId="10" xfId="0" applyFont="1" applyFill="1" applyBorder="1"/>
    <xf numFmtId="0" fontId="11" fillId="0" borderId="2" xfId="0" applyFont="1" applyFill="1" applyBorder="1" applyAlignment="1">
      <alignment horizontal="left" vertical="center"/>
    </xf>
    <xf numFmtId="0" fontId="8" fillId="0" borderId="2" xfId="0" quotePrefix="1" applyFont="1" applyFill="1" applyBorder="1" applyAlignment="1">
      <alignment horizontal="left"/>
    </xf>
    <xf numFmtId="0" fontId="8" fillId="0" borderId="10" xfId="0" quotePrefix="1" applyFont="1" applyFill="1" applyBorder="1" applyAlignment="1">
      <alignment horizontal="left"/>
    </xf>
    <xf numFmtId="0" fontId="11" fillId="0" borderId="2" xfId="0" quotePrefix="1" applyFont="1" applyFill="1" applyBorder="1" applyAlignment="1">
      <alignment horizontal="left"/>
    </xf>
    <xf numFmtId="0" fontId="13" fillId="0" borderId="12" xfId="0" applyFont="1" applyFill="1" applyBorder="1"/>
    <xf numFmtId="0" fontId="8" fillId="0" borderId="0" xfId="0" applyFont="1" applyFill="1" applyBorder="1"/>
    <xf numFmtId="0" fontId="8" fillId="0" borderId="0" xfId="0" quotePrefix="1" applyFont="1" applyFill="1" applyBorder="1" applyAlignment="1">
      <alignment horizontal="center"/>
    </xf>
    <xf numFmtId="4" fontId="8" fillId="0" borderId="9" xfId="0" applyNumberFormat="1" applyFont="1" applyFill="1" applyBorder="1" applyAlignment="1"/>
    <xf numFmtId="0" fontId="12" fillId="0" borderId="0" xfId="0" applyFont="1" applyFill="1"/>
    <xf numFmtId="0" fontId="2" fillId="0" borderId="0" xfId="0" applyFont="1" applyBorder="1" applyAlignment="1">
      <alignment horizontal="left"/>
    </xf>
    <xf numFmtId="0" fontId="4" fillId="0" borderId="10" xfId="0" quotePrefix="1" applyFont="1" applyBorder="1" applyAlignment="1">
      <alignment horizontal="left"/>
    </xf>
    <xf numFmtId="0" fontId="4" fillId="0" borderId="0" xfId="0" applyFont="1" applyBorder="1"/>
    <xf numFmtId="0" fontId="4" fillId="0" borderId="11" xfId="0" applyFont="1" applyBorder="1"/>
    <xf numFmtId="4" fontId="4" fillId="0" borderId="9" xfId="0" applyNumberFormat="1" applyFont="1" applyFill="1" applyBorder="1" applyAlignment="1">
      <alignment horizontal="right" wrapText="1"/>
    </xf>
    <xf numFmtId="0" fontId="4" fillId="0" borderId="0" xfId="0" applyFont="1"/>
    <xf numFmtId="0" fontId="2" fillId="0" borderId="0" xfId="0" quotePrefix="1" applyFont="1" applyBorder="1" applyAlignment="1">
      <alignment horizontal="left"/>
    </xf>
    <xf numFmtId="0" fontId="2" fillId="0" borderId="0" xfId="0" applyFont="1" applyBorder="1"/>
    <xf numFmtId="0" fontId="20" fillId="0" borderId="0" xfId="0" applyFont="1" applyBorder="1"/>
    <xf numFmtId="49" fontId="13" fillId="0" borderId="5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7" xfId="0" quotePrefix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4" fontId="1" fillId="0" borderId="9" xfId="0" applyNumberFormat="1" applyFont="1" applyBorder="1" applyAlignment="1"/>
    <xf numFmtId="4" fontId="1" fillId="0" borderId="8" xfId="0" applyNumberFormat="1" applyFont="1" applyBorder="1" applyAlignment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64" fontId="22" fillId="0" borderId="9" xfId="0" applyNumberFormat="1" applyFont="1" applyBorder="1" applyAlignment="1">
      <alignment horizontal="right" vertical="top" wrapText="1"/>
    </xf>
    <xf numFmtId="4" fontId="23" fillId="0" borderId="9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0" fontId="8" fillId="0" borderId="15" xfId="0" applyFont="1" applyBorder="1"/>
    <xf numFmtId="164" fontId="21" fillId="0" borderId="2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quotePrefix="1" applyFont="1" applyFill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4" fontId="24" fillId="0" borderId="9" xfId="0" applyNumberFormat="1" applyFont="1" applyBorder="1" applyAlignment="1">
      <alignment horizontal="right" wrapText="1"/>
    </xf>
    <xf numFmtId="0" fontId="8" fillId="0" borderId="0" xfId="0" applyFont="1" applyAlignment="1"/>
    <xf numFmtId="0" fontId="8" fillId="0" borderId="8" xfId="0" applyFont="1" applyBorder="1" applyAlignment="1"/>
    <xf numFmtId="4" fontId="24" fillId="0" borderId="19" xfId="0" applyNumberFormat="1" applyFont="1" applyBorder="1" applyAlignment="1">
      <alignment horizontal="right" wrapText="1"/>
    </xf>
    <xf numFmtId="4" fontId="24" fillId="0" borderId="9" xfId="0" applyNumberFormat="1" applyFont="1" applyBorder="1" applyAlignment="1">
      <alignment horizontal="right" wrapText="1"/>
    </xf>
    <xf numFmtId="4" fontId="11" fillId="0" borderId="5" xfId="0" applyNumberFormat="1" applyFont="1" applyBorder="1" applyAlignment="1"/>
    <xf numFmtId="4" fontId="8" fillId="0" borderId="14" xfId="0" applyNumberFormat="1" applyFont="1" applyBorder="1" applyAlignment="1"/>
    <xf numFmtId="4" fontId="8" fillId="0" borderId="0" xfId="0" applyNumberFormat="1" applyFont="1" applyAlignment="1"/>
    <xf numFmtId="4" fontId="8" fillId="0" borderId="8" xfId="0" applyNumberFormat="1" applyFont="1" applyBorder="1" applyAlignment="1"/>
    <xf numFmtId="165" fontId="24" fillId="0" borderId="9" xfId="0" applyNumberFormat="1" applyFont="1" applyBorder="1" applyAlignment="1">
      <alignment horizontal="right" wrapText="1"/>
    </xf>
    <xf numFmtId="164" fontId="24" fillId="0" borderId="19" xfId="0" applyNumberFormat="1" applyFont="1" applyBorder="1" applyAlignment="1">
      <alignment horizontal="right" wrapText="1"/>
    </xf>
    <xf numFmtId="4" fontId="8" fillId="0" borderId="4" xfId="0" applyNumberFormat="1" applyFont="1" applyBorder="1" applyAlignment="1">
      <alignment wrapText="1"/>
    </xf>
    <xf numFmtId="4" fontId="8" fillId="0" borderId="7" xfId="0" applyNumberFormat="1" applyFont="1" applyBorder="1" applyAlignment="1"/>
    <xf numFmtId="164" fontId="24" fillId="0" borderId="21" xfId="0" applyNumberFormat="1" applyFont="1" applyBorder="1" applyAlignment="1">
      <alignment horizontal="right" wrapText="1"/>
    </xf>
    <xf numFmtId="4" fontId="8" fillId="0" borderId="4" xfId="0" applyNumberFormat="1" applyFont="1" applyBorder="1" applyAlignment="1"/>
    <xf numFmtId="4" fontId="8" fillId="0" borderId="11" xfId="0" applyNumberFormat="1" applyFont="1" applyBorder="1" applyAlignment="1"/>
    <xf numFmtId="4" fontId="8" fillId="2" borderId="8" xfId="0" applyNumberFormat="1" applyFont="1" applyFill="1" applyBorder="1" applyAlignment="1"/>
    <xf numFmtId="4" fontId="11" fillId="2" borderId="9" xfId="0" applyNumberFormat="1" applyFont="1" applyFill="1" applyBorder="1" applyAlignment="1"/>
    <xf numFmtId="4" fontId="8" fillId="2" borderId="14" xfId="0" applyNumberFormat="1" applyFont="1" applyFill="1" applyBorder="1" applyAlignment="1"/>
    <xf numFmtId="4" fontId="11" fillId="0" borderId="9" xfId="0" applyNumberFormat="1" applyFont="1" applyBorder="1" applyAlignment="1"/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Procent 2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zoomScaleNormal="100" zoomScaleSheetLayoutView="107" workbookViewId="0">
      <selection activeCell="R9" sqref="R9"/>
    </sheetView>
  </sheetViews>
  <sheetFormatPr defaultColWidth="12" defaultRowHeight="13.2" x14ac:dyDescent="0.25"/>
  <cols>
    <col min="1" max="1" width="4.44140625" style="2" customWidth="1"/>
    <col min="2" max="2" width="1" style="2" customWidth="1"/>
    <col min="3" max="3" width="5.44140625" style="2" customWidth="1"/>
    <col min="4" max="4" width="6.77734375" style="2" customWidth="1"/>
    <col min="5" max="6" width="12" style="2" customWidth="1"/>
    <col min="7" max="7" width="10" style="2" customWidth="1"/>
    <col min="8" max="8" width="3.109375" style="2" customWidth="1"/>
    <col min="9" max="9" width="1.33203125" style="2" customWidth="1"/>
    <col min="10" max="10" width="10.77734375" style="37" customWidth="1"/>
    <col min="11" max="12" width="18.77734375" style="37" customWidth="1"/>
    <col min="13" max="13" width="18.77734375" style="2" customWidth="1"/>
    <col min="14" max="15" width="18.77734375" style="151" customWidth="1"/>
    <col min="16" max="17" width="18.77734375" style="2" customWidth="1"/>
    <col min="18" max="16384" width="12" style="2"/>
  </cols>
  <sheetData>
    <row r="1" spans="1:17" ht="17.399999999999999" x14ac:dyDescent="0.3">
      <c r="A1" s="125" t="s">
        <v>81</v>
      </c>
    </row>
    <row r="3" spans="1:17" s="1" customFormat="1" ht="16.5" customHeight="1" x14ac:dyDescent="0.25">
      <c r="A3" s="279" t="s">
        <v>82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152"/>
      <c r="O3" s="152"/>
    </row>
    <row r="4" spans="1:17" ht="24.9" customHeight="1" x14ac:dyDescent="0.25">
      <c r="J4" s="2"/>
      <c r="K4" s="2"/>
      <c r="L4" s="2"/>
    </row>
    <row r="5" spans="1:17" x14ac:dyDescent="0.25">
      <c r="A5" s="3" t="s">
        <v>83</v>
      </c>
      <c r="B5" s="4"/>
      <c r="C5" s="5"/>
      <c r="D5" s="5"/>
      <c r="E5" s="5"/>
      <c r="F5" s="5"/>
      <c r="G5" s="5"/>
      <c r="H5" s="5"/>
      <c r="I5" s="6"/>
      <c r="J5" s="7" t="s">
        <v>0</v>
      </c>
      <c r="K5" s="7">
        <v>2014</v>
      </c>
      <c r="L5" s="7">
        <v>2015</v>
      </c>
      <c r="M5" s="7">
        <v>2016</v>
      </c>
      <c r="N5" s="132">
        <v>2017</v>
      </c>
      <c r="O5" s="132">
        <v>2018</v>
      </c>
      <c r="P5" s="132">
        <v>2019</v>
      </c>
      <c r="Q5" s="7">
        <v>2020</v>
      </c>
    </row>
    <row r="6" spans="1:17" x14ac:dyDescent="0.25">
      <c r="A6" s="8"/>
      <c r="B6" s="9"/>
      <c r="C6" s="9"/>
      <c r="D6" s="9"/>
      <c r="E6" s="9"/>
      <c r="F6" s="9"/>
      <c r="G6" s="9"/>
      <c r="H6" s="9"/>
      <c r="I6" s="10"/>
      <c r="J6" s="11"/>
      <c r="K6" s="12"/>
      <c r="L6" s="12"/>
      <c r="M6" s="12"/>
      <c r="N6" s="138"/>
      <c r="O6" s="138"/>
      <c r="P6" s="30"/>
      <c r="Q6" s="20"/>
    </row>
    <row r="7" spans="1:17" s="222" customFormat="1" ht="17.100000000000001" customHeight="1" x14ac:dyDescent="0.25">
      <c r="A7" s="218" t="s">
        <v>1</v>
      </c>
      <c r="B7" s="223" t="s">
        <v>85</v>
      </c>
      <c r="C7" s="224"/>
      <c r="D7" s="219"/>
      <c r="E7" s="219"/>
      <c r="F7" s="219"/>
      <c r="G7" s="219"/>
      <c r="H7" s="219"/>
      <c r="I7" s="220"/>
      <c r="J7" s="14">
        <v>20</v>
      </c>
      <c r="K7" s="56">
        <v>73295976.390000001</v>
      </c>
      <c r="L7" s="56">
        <v>54336385.549999997</v>
      </c>
      <c r="M7" s="56">
        <v>40159382.539999999</v>
      </c>
      <c r="N7" s="221">
        <v>26839806.09</v>
      </c>
      <c r="O7" s="221">
        <v>18025598.050000001</v>
      </c>
      <c r="P7" s="221">
        <v>17722423.899999999</v>
      </c>
      <c r="Q7" s="239">
        <v>20170417.27</v>
      </c>
    </row>
    <row r="8" spans="1:17" ht="17.100000000000001" customHeight="1" x14ac:dyDescent="0.25">
      <c r="A8" s="16"/>
      <c r="B8" s="223" t="s">
        <v>84</v>
      </c>
      <c r="C8" s="225"/>
      <c r="D8" s="17"/>
      <c r="E8" s="17"/>
      <c r="F8" s="17"/>
      <c r="G8" s="17"/>
      <c r="H8" s="17"/>
      <c r="I8" s="145"/>
      <c r="J8" s="14" t="s">
        <v>245</v>
      </c>
      <c r="K8" s="56">
        <f>+K9+K10+K17+K24</f>
        <v>204330889.09</v>
      </c>
      <c r="L8" s="56">
        <f t="shared" ref="L8:Q8" si="0">+L9+L10+L17+L24</f>
        <v>217069823.45999998</v>
      </c>
      <c r="M8" s="56">
        <f t="shared" si="0"/>
        <v>229060256.07000002</v>
      </c>
      <c r="N8" s="56">
        <f t="shared" si="0"/>
        <v>251298056.43000001</v>
      </c>
      <c r="O8" s="56">
        <f t="shared" si="0"/>
        <v>262803842.93000001</v>
      </c>
      <c r="P8" s="56">
        <f t="shared" si="0"/>
        <v>237543734.32999998</v>
      </c>
      <c r="Q8" s="56">
        <f t="shared" si="0"/>
        <v>233520187.62</v>
      </c>
    </row>
    <row r="9" spans="1:17" ht="17.100000000000001" customHeight="1" x14ac:dyDescent="0.25">
      <c r="A9" s="16" t="s">
        <v>2</v>
      </c>
      <c r="B9" s="18" t="s">
        <v>86</v>
      </c>
      <c r="C9" s="17"/>
      <c r="D9" s="17"/>
      <c r="E9" s="17"/>
      <c r="F9" s="17"/>
      <c r="G9" s="17"/>
      <c r="H9" s="17"/>
      <c r="I9" s="145"/>
      <c r="J9" s="140">
        <v>21</v>
      </c>
      <c r="K9" s="136">
        <v>5625102.1200000001</v>
      </c>
      <c r="L9" s="136">
        <v>6406307.1699999999</v>
      </c>
      <c r="M9" s="136">
        <v>10064944.460000001</v>
      </c>
      <c r="N9" s="133">
        <v>10531077.140000001</v>
      </c>
      <c r="O9" s="133">
        <v>9787345.4100000001</v>
      </c>
      <c r="P9" s="133">
        <v>9304700.5500000007</v>
      </c>
      <c r="Q9" s="133">
        <v>13880394.630000001</v>
      </c>
    </row>
    <row r="10" spans="1:17" ht="17.100000000000001" customHeight="1" x14ac:dyDescent="0.25">
      <c r="A10" s="16" t="s">
        <v>3</v>
      </c>
      <c r="B10" s="127" t="s">
        <v>87</v>
      </c>
      <c r="C10" s="17"/>
      <c r="D10" s="17"/>
      <c r="E10" s="17"/>
      <c r="F10" s="17"/>
      <c r="G10" s="17"/>
      <c r="H10" s="17"/>
      <c r="I10" s="145"/>
      <c r="J10" s="140" t="s">
        <v>4</v>
      </c>
      <c r="K10" s="136">
        <f>SUM(K11:K16)</f>
        <v>89294210.859999999</v>
      </c>
      <c r="L10" s="136">
        <f>SUM(L11:L16)</f>
        <v>98114586.389999986</v>
      </c>
      <c r="M10" s="136">
        <f>SUM(M11:M16)</f>
        <v>93214395.420000017</v>
      </c>
      <c r="N10" s="136">
        <f>SUM(N11:N16)</f>
        <v>92631724.180000007</v>
      </c>
      <c r="O10" s="136">
        <f t="shared" ref="O10" si="1">SUM(O11:O16)</f>
        <v>96317617.310000002</v>
      </c>
      <c r="P10" s="231">
        <f>SUM(P11:P16)</f>
        <v>96139492.010000005</v>
      </c>
      <c r="Q10" s="231">
        <f>SUM(Q11:Q16)</f>
        <v>97523173.449999988</v>
      </c>
    </row>
    <row r="11" spans="1:17" x14ac:dyDescent="0.25">
      <c r="A11" s="16"/>
      <c r="B11" s="18"/>
      <c r="C11" s="18" t="s">
        <v>88</v>
      </c>
      <c r="D11" s="17"/>
      <c r="E11" s="17"/>
      <c r="F11" s="17"/>
      <c r="G11" s="17"/>
      <c r="H11" s="17"/>
      <c r="I11" s="145"/>
      <c r="J11" s="140">
        <v>22</v>
      </c>
      <c r="K11" s="136">
        <v>28559680.550000001</v>
      </c>
      <c r="L11" s="136">
        <v>33946620.759999998</v>
      </c>
      <c r="M11" s="136">
        <v>37059254.789999999</v>
      </c>
      <c r="N11" s="133">
        <v>32917191.43</v>
      </c>
      <c r="O11" s="133">
        <v>35962809.090000004</v>
      </c>
      <c r="P11" s="133">
        <v>35810036.039999999</v>
      </c>
      <c r="Q11" s="235">
        <v>35490093.369999997</v>
      </c>
    </row>
    <row r="12" spans="1:17" x14ac:dyDescent="0.25">
      <c r="A12" s="19"/>
      <c r="B12" s="17"/>
      <c r="C12" s="18" t="s">
        <v>103</v>
      </c>
      <c r="D12" s="17"/>
      <c r="E12" s="17"/>
      <c r="F12" s="17"/>
      <c r="G12" s="17"/>
      <c r="H12" s="17"/>
      <c r="I12" s="145"/>
      <c r="J12" s="140">
        <v>23</v>
      </c>
      <c r="K12" s="136">
        <v>8188262.6900000004</v>
      </c>
      <c r="L12" s="136">
        <v>7758825.4000000004</v>
      </c>
      <c r="M12" s="136">
        <v>7096660.5300000003</v>
      </c>
      <c r="N12" s="133">
        <v>7975778.3099999996</v>
      </c>
      <c r="O12" s="133">
        <v>11394201.039999999</v>
      </c>
      <c r="P12" s="133">
        <v>11169362.189999999</v>
      </c>
      <c r="Q12" s="235">
        <v>13030386.57</v>
      </c>
    </row>
    <row r="13" spans="1:17" x14ac:dyDescent="0.25">
      <c r="A13" s="19"/>
      <c r="B13" s="17"/>
      <c r="C13" s="18" t="s">
        <v>89</v>
      </c>
      <c r="D13" s="17"/>
      <c r="E13" s="17"/>
      <c r="F13" s="17"/>
      <c r="G13" s="17"/>
      <c r="H13" s="17"/>
      <c r="I13" s="145"/>
      <c r="J13" s="140">
        <v>24</v>
      </c>
      <c r="K13" s="136">
        <v>22477817.719999999</v>
      </c>
      <c r="L13" s="136">
        <v>20891992.129999999</v>
      </c>
      <c r="M13" s="136">
        <v>20078142.16</v>
      </c>
      <c r="N13" s="133">
        <v>20762177.079999998</v>
      </c>
      <c r="O13" s="133">
        <v>21598584.100000001</v>
      </c>
      <c r="P13" s="133">
        <v>21504444.579999998</v>
      </c>
      <c r="Q13" s="235">
        <v>19626255.440000001</v>
      </c>
    </row>
    <row r="14" spans="1:17" x14ac:dyDescent="0.25">
      <c r="A14" s="19"/>
      <c r="B14" s="17"/>
      <c r="C14" s="18" t="s">
        <v>90</v>
      </c>
      <c r="D14" s="17"/>
      <c r="E14" s="17"/>
      <c r="F14" s="17"/>
      <c r="G14" s="17"/>
      <c r="H14" s="17"/>
      <c r="I14" s="145"/>
      <c r="J14" s="140">
        <v>25</v>
      </c>
      <c r="K14" s="136">
        <v>5458888.0099999998</v>
      </c>
      <c r="L14" s="136">
        <v>7472656.1900000004</v>
      </c>
      <c r="M14" s="136">
        <v>6242710.8700000001</v>
      </c>
      <c r="N14" s="133">
        <v>5139086.1399999997</v>
      </c>
      <c r="O14" s="133">
        <v>4034015.46</v>
      </c>
      <c r="P14" s="133">
        <v>2968739.81</v>
      </c>
      <c r="Q14" s="235">
        <v>1937773.91</v>
      </c>
    </row>
    <row r="15" spans="1:17" x14ac:dyDescent="0.25">
      <c r="A15" s="19"/>
      <c r="B15" s="17"/>
      <c r="C15" s="18" t="s">
        <v>91</v>
      </c>
      <c r="D15" s="17"/>
      <c r="E15" s="17"/>
      <c r="F15" s="17"/>
      <c r="G15" s="17"/>
      <c r="H15" s="17"/>
      <c r="I15" s="145"/>
      <c r="J15" s="140"/>
      <c r="K15" s="136"/>
      <c r="L15" s="136"/>
      <c r="M15" s="136"/>
      <c r="N15" s="134"/>
      <c r="O15" s="134"/>
      <c r="P15" s="133"/>
      <c r="Q15" s="20"/>
    </row>
    <row r="16" spans="1:17" x14ac:dyDescent="0.25">
      <c r="A16" s="19"/>
      <c r="B16" s="17"/>
      <c r="C16" s="17" t="s">
        <v>92</v>
      </c>
      <c r="D16" s="17"/>
      <c r="E16" s="17"/>
      <c r="F16" s="17"/>
      <c r="G16" s="17"/>
      <c r="H16" s="17"/>
      <c r="I16" s="145"/>
      <c r="J16" s="140">
        <v>26</v>
      </c>
      <c r="K16" s="136">
        <v>24609561.890000001</v>
      </c>
      <c r="L16" s="136">
        <v>28044491.91</v>
      </c>
      <c r="M16" s="136">
        <v>22737627.07</v>
      </c>
      <c r="N16" s="133">
        <v>25837491.219999999</v>
      </c>
      <c r="O16" s="133">
        <v>23328007.620000001</v>
      </c>
      <c r="P16" s="134">
        <v>24686909.390000001</v>
      </c>
      <c r="Q16" s="235">
        <v>27438664.16</v>
      </c>
    </row>
    <row r="17" spans="1:17" ht="17.100000000000001" customHeight="1" x14ac:dyDescent="0.25">
      <c r="A17" s="16" t="s">
        <v>5</v>
      </c>
      <c r="B17" s="18" t="s">
        <v>93</v>
      </c>
      <c r="C17" s="17"/>
      <c r="D17" s="17"/>
      <c r="E17" s="17"/>
      <c r="F17" s="17"/>
      <c r="G17" s="17"/>
      <c r="H17" s="17"/>
      <c r="I17" s="145"/>
      <c r="J17" s="140">
        <v>28</v>
      </c>
      <c r="K17" s="136">
        <f>K19+K23</f>
        <v>12799622.879999999</v>
      </c>
      <c r="L17" s="136">
        <f>L19+L23</f>
        <v>15700615.059999999</v>
      </c>
      <c r="M17" s="136">
        <f>M19+M23</f>
        <v>15130157.780000001</v>
      </c>
      <c r="N17" s="136">
        <f>N19+N23</f>
        <v>14416422.199999999</v>
      </c>
      <c r="O17" s="136">
        <f t="shared" ref="O17:Q17" si="2">O19+O23</f>
        <v>5121583.67</v>
      </c>
      <c r="P17" s="231">
        <f t="shared" si="2"/>
        <v>5324993.8099999996</v>
      </c>
      <c r="Q17" s="231">
        <f t="shared" si="2"/>
        <v>4343493.7799999993</v>
      </c>
    </row>
    <row r="18" spans="1:17" x14ac:dyDescent="0.25">
      <c r="A18" s="19"/>
      <c r="B18" s="17"/>
      <c r="C18" s="18" t="s">
        <v>94</v>
      </c>
      <c r="D18" s="17"/>
      <c r="E18" s="17"/>
      <c r="F18" s="17"/>
      <c r="G18" s="17"/>
      <c r="H18" s="17"/>
      <c r="I18" s="145"/>
      <c r="J18" s="140"/>
      <c r="K18" s="137"/>
      <c r="L18" s="137"/>
      <c r="M18" s="137"/>
      <c r="N18" s="134"/>
      <c r="O18" s="134"/>
      <c r="P18" s="134"/>
      <c r="Q18" s="20"/>
    </row>
    <row r="19" spans="1:17" x14ac:dyDescent="0.25">
      <c r="A19" s="19"/>
      <c r="B19" s="17"/>
      <c r="C19" s="17" t="s">
        <v>95</v>
      </c>
      <c r="D19" s="17"/>
      <c r="E19" s="17"/>
      <c r="F19" s="17"/>
      <c r="G19" s="17"/>
      <c r="H19" s="17"/>
      <c r="I19" s="145"/>
      <c r="J19" s="140" t="s">
        <v>6</v>
      </c>
      <c r="K19" s="136">
        <f>SUM(K20:K21)</f>
        <v>10636377.619999999</v>
      </c>
      <c r="L19" s="136">
        <f>SUM(L20:L21)</f>
        <v>13302615.939999999</v>
      </c>
      <c r="M19" s="136">
        <f>SUM(M20:M21)</f>
        <v>12702625.960000001</v>
      </c>
      <c r="N19" s="134">
        <f>SUM(N20:N21)</f>
        <v>11824751.91</v>
      </c>
      <c r="O19" s="134">
        <f>SUM(O20:O21)</f>
        <v>2260589.94</v>
      </c>
      <c r="P19" s="134">
        <f t="shared" ref="P19:Q19" si="3">SUM(P20:P21)</f>
        <v>2327789.7599999998</v>
      </c>
      <c r="Q19" s="233">
        <f t="shared" si="3"/>
        <v>1455180.88</v>
      </c>
    </row>
    <row r="20" spans="1:17" s="37" customFormat="1" ht="12" x14ac:dyDescent="0.25">
      <c r="A20" s="57"/>
      <c r="B20" s="58"/>
      <c r="C20" s="59"/>
      <c r="D20" s="58" t="s">
        <v>96</v>
      </c>
      <c r="E20" s="58"/>
      <c r="F20" s="58"/>
      <c r="G20" s="58"/>
      <c r="H20" s="58"/>
      <c r="I20" s="146"/>
      <c r="J20" s="141">
        <v>280</v>
      </c>
      <c r="K20" s="60">
        <v>3313716.82</v>
      </c>
      <c r="L20" s="60">
        <v>6068413.2699999996</v>
      </c>
      <c r="M20" s="60">
        <v>5918941.9100000001</v>
      </c>
      <c r="N20" s="154">
        <v>5919879.1200000001</v>
      </c>
      <c r="O20" s="154">
        <v>451513.13</v>
      </c>
      <c r="P20" s="154">
        <v>476782.24</v>
      </c>
      <c r="Q20" s="154">
        <v>481782.24</v>
      </c>
    </row>
    <row r="21" spans="1:17" s="37" customFormat="1" ht="12" x14ac:dyDescent="0.25">
      <c r="A21" s="57"/>
      <c r="B21" s="58"/>
      <c r="C21" s="59"/>
      <c r="D21" s="58" t="s">
        <v>97</v>
      </c>
      <c r="E21" s="58"/>
      <c r="F21" s="58"/>
      <c r="G21" s="58"/>
      <c r="H21" s="58"/>
      <c r="I21" s="146"/>
      <c r="J21" s="141">
        <v>281</v>
      </c>
      <c r="K21" s="60">
        <v>7322660.7999999998</v>
      </c>
      <c r="L21" s="60">
        <v>7234202.6699999999</v>
      </c>
      <c r="M21" s="60">
        <v>6783684.0499999998</v>
      </c>
      <c r="N21" s="154">
        <v>5904872.79</v>
      </c>
      <c r="O21" s="154">
        <v>1809076.81</v>
      </c>
      <c r="P21" s="154">
        <v>1851007.52</v>
      </c>
      <c r="Q21" s="154">
        <v>973398.64</v>
      </c>
    </row>
    <row r="22" spans="1:17" x14ac:dyDescent="0.25">
      <c r="A22" s="19"/>
      <c r="B22" s="17"/>
      <c r="C22" s="18" t="s">
        <v>98</v>
      </c>
      <c r="D22" s="17"/>
      <c r="E22" s="17"/>
      <c r="F22" s="17"/>
      <c r="G22" s="17"/>
      <c r="H22" s="17"/>
      <c r="I22" s="145"/>
      <c r="J22" s="142"/>
      <c r="K22" s="137"/>
      <c r="L22" s="137"/>
      <c r="M22" s="137"/>
      <c r="N22" s="134"/>
      <c r="O22" s="134"/>
      <c r="P22" s="134"/>
      <c r="Q22" s="236"/>
    </row>
    <row r="23" spans="1:17" x14ac:dyDescent="0.25">
      <c r="A23" s="19"/>
      <c r="B23" s="17"/>
      <c r="C23" s="17" t="s">
        <v>99</v>
      </c>
      <c r="D23" s="17"/>
      <c r="E23" s="17"/>
      <c r="F23" s="17"/>
      <c r="G23" s="17"/>
      <c r="H23" s="17"/>
      <c r="I23" s="145"/>
      <c r="J23" s="140" t="s">
        <v>7</v>
      </c>
      <c r="K23" s="136">
        <v>2163245.2599999998</v>
      </c>
      <c r="L23" s="136">
        <v>2397999.12</v>
      </c>
      <c r="M23" s="136">
        <v>2427531.8199999998</v>
      </c>
      <c r="N23" s="133">
        <v>2591670.29</v>
      </c>
      <c r="O23" s="133">
        <v>2860993.73</v>
      </c>
      <c r="P23" s="133">
        <v>2997204.05</v>
      </c>
      <c r="Q23" s="235">
        <v>2888312.9</v>
      </c>
    </row>
    <row r="24" spans="1:17" x14ac:dyDescent="0.25">
      <c r="A24" s="16" t="s">
        <v>8</v>
      </c>
      <c r="B24" s="18" t="s">
        <v>100</v>
      </c>
      <c r="C24" s="17"/>
      <c r="D24" s="17"/>
      <c r="E24" s="17"/>
      <c r="F24" s="17"/>
      <c r="G24" s="17"/>
      <c r="H24" s="17"/>
      <c r="I24" s="145"/>
      <c r="J24" s="140">
        <v>29</v>
      </c>
      <c r="K24" s="136">
        <f>SUM(K25:K26)</f>
        <v>96611953.230000004</v>
      </c>
      <c r="L24" s="136">
        <f>SUM(L25:L26)</f>
        <v>96848314.840000004</v>
      </c>
      <c r="M24" s="136">
        <f>SUM(M25:M26)</f>
        <v>110650758.41</v>
      </c>
      <c r="N24" s="144">
        <f>SUM(N25:N26)</f>
        <v>133718832.91</v>
      </c>
      <c r="O24" s="144">
        <f>SUM(O25:O26)</f>
        <v>151577296.53999999</v>
      </c>
      <c r="P24" s="144">
        <f t="shared" ref="P24:Q24" si="4">SUM(P25:P26)</f>
        <v>126774547.95999999</v>
      </c>
      <c r="Q24" s="144">
        <f t="shared" si="4"/>
        <v>117773125.76000001</v>
      </c>
    </row>
    <row r="25" spans="1:17" x14ac:dyDescent="0.25">
      <c r="A25" s="19"/>
      <c r="B25" s="17"/>
      <c r="C25" s="18" t="s">
        <v>101</v>
      </c>
      <c r="D25" s="17"/>
      <c r="E25" s="17"/>
      <c r="F25" s="17"/>
      <c r="G25" s="17"/>
      <c r="H25" s="17"/>
      <c r="I25" s="145"/>
      <c r="J25" s="140" t="s">
        <v>9</v>
      </c>
      <c r="K25" s="136">
        <v>85948521.810000002</v>
      </c>
      <c r="L25" s="136">
        <v>88596830.969999999</v>
      </c>
      <c r="M25" s="136">
        <v>102300160.02</v>
      </c>
      <c r="N25" s="134">
        <v>125172098.77</v>
      </c>
      <c r="O25" s="134">
        <v>143561461.22</v>
      </c>
      <c r="P25" s="134">
        <v>116638889.06999999</v>
      </c>
      <c r="Q25" s="235">
        <v>107661436.36</v>
      </c>
    </row>
    <row r="26" spans="1:17" x14ac:dyDescent="0.25">
      <c r="A26" s="19"/>
      <c r="B26" s="17"/>
      <c r="C26" s="18" t="s">
        <v>102</v>
      </c>
      <c r="D26" s="17"/>
      <c r="E26" s="17"/>
      <c r="F26" s="17"/>
      <c r="G26" s="17"/>
      <c r="H26" s="17"/>
      <c r="I26" s="145"/>
      <c r="J26" s="140" t="s">
        <v>10</v>
      </c>
      <c r="K26" s="136">
        <v>10663431.42</v>
      </c>
      <c r="L26" s="136">
        <v>8251483.8700000001</v>
      </c>
      <c r="M26" s="136">
        <v>8350598.3899999997</v>
      </c>
      <c r="N26" s="133">
        <v>8546734.1400000006</v>
      </c>
      <c r="O26" s="133">
        <v>8015835.3200000003</v>
      </c>
      <c r="P26" s="133">
        <v>10135658.890000001</v>
      </c>
      <c r="Q26" s="235">
        <v>10111689.4</v>
      </c>
    </row>
    <row r="27" spans="1:17" ht="19.95" customHeight="1" x14ac:dyDescent="0.25">
      <c r="A27" s="21"/>
      <c r="B27" s="217" t="s">
        <v>104</v>
      </c>
      <c r="C27" s="23"/>
      <c r="D27" s="23"/>
      <c r="E27" s="23"/>
      <c r="F27" s="23"/>
      <c r="G27" s="23"/>
      <c r="H27" s="23"/>
      <c r="I27" s="147"/>
      <c r="J27" s="14" t="s">
        <v>11</v>
      </c>
      <c r="K27" s="56">
        <f>K28+K29+K42+K46+K47</f>
        <v>2466313426.98</v>
      </c>
      <c r="L27" s="56">
        <f>L28+L29+L42+L46+L47</f>
        <v>2555644717.5100002</v>
      </c>
      <c r="M27" s="56">
        <f>M28+M29+M42+M46+M47</f>
        <v>2595661223.6599998</v>
      </c>
      <c r="N27" s="135">
        <f>N28+N29+N42+N46+N47</f>
        <v>2641316870.3199997</v>
      </c>
      <c r="O27" s="135">
        <f>O28+O29+O42+O46+O47</f>
        <v>2594498379.1800003</v>
      </c>
      <c r="P27" s="135">
        <f t="shared" ref="P27:Q27" si="5">P28+P29+P42+P46+P47</f>
        <v>3745834997.3100004</v>
      </c>
      <c r="Q27" s="135">
        <f t="shared" si="5"/>
        <v>3172994621.8499999</v>
      </c>
    </row>
    <row r="28" spans="1:17" ht="18.75" customHeight="1" x14ac:dyDescent="0.25">
      <c r="A28" s="25" t="s">
        <v>12</v>
      </c>
      <c r="B28" s="26" t="s">
        <v>105</v>
      </c>
      <c r="C28" s="27"/>
      <c r="D28" s="27"/>
      <c r="E28" s="27"/>
      <c r="F28" s="27"/>
      <c r="G28" s="27"/>
      <c r="H28" s="27"/>
      <c r="I28" s="148"/>
      <c r="J28" s="142">
        <v>31</v>
      </c>
      <c r="K28" s="28">
        <v>779030.72</v>
      </c>
      <c r="L28" s="28">
        <v>780326.53</v>
      </c>
      <c r="M28" s="28">
        <v>561379.25</v>
      </c>
      <c r="N28" s="133">
        <v>691879.68</v>
      </c>
      <c r="O28" s="133">
        <v>589228.09</v>
      </c>
      <c r="P28" s="133">
        <v>697137.93</v>
      </c>
      <c r="Q28" s="133">
        <v>708885.8</v>
      </c>
    </row>
    <row r="29" spans="1:17" ht="17.100000000000001" customHeight="1" x14ac:dyDescent="0.25">
      <c r="A29" s="25" t="s">
        <v>13</v>
      </c>
      <c r="B29" s="26" t="s">
        <v>106</v>
      </c>
      <c r="C29" s="27"/>
      <c r="D29" s="27"/>
      <c r="E29" s="27"/>
      <c r="F29" s="27"/>
      <c r="G29" s="27"/>
      <c r="H29" s="27"/>
      <c r="I29" s="148"/>
      <c r="J29" s="142" t="s">
        <v>14</v>
      </c>
      <c r="K29" s="28">
        <f>K31+K38+K39+K40+K41</f>
        <v>330872534.53000003</v>
      </c>
      <c r="L29" s="28">
        <f>L31+L38+L39+L40+L41</f>
        <v>419592989.16000003</v>
      </c>
      <c r="M29" s="28">
        <f>M31+M38+M39+M40+M41</f>
        <v>411089308.20999998</v>
      </c>
      <c r="N29" s="144">
        <f>N31+N38+N39+N40+N41</f>
        <v>441269887.8499999</v>
      </c>
      <c r="O29" s="144">
        <f>O31+O38+O39+O40+O41</f>
        <v>426880669.44</v>
      </c>
      <c r="P29" s="144">
        <f t="shared" ref="P29:Q29" si="6">P31+P38+P39+P40+P41</f>
        <v>1542477620.9100001</v>
      </c>
      <c r="Q29" s="144">
        <f t="shared" si="6"/>
        <v>755532349.11000013</v>
      </c>
    </row>
    <row r="30" spans="1:17" x14ac:dyDescent="0.25">
      <c r="A30" s="19"/>
      <c r="B30" s="17"/>
      <c r="C30" s="26" t="s">
        <v>107</v>
      </c>
      <c r="D30" s="27"/>
      <c r="E30" s="27"/>
      <c r="F30" s="27"/>
      <c r="G30" s="17"/>
      <c r="H30" s="17"/>
      <c r="I30" s="145"/>
      <c r="J30" s="140"/>
      <c r="K30" s="137"/>
      <c r="L30" s="137"/>
      <c r="M30" s="137"/>
      <c r="N30" s="134"/>
      <c r="O30" s="134"/>
      <c r="P30" s="134"/>
      <c r="Q30" s="20"/>
    </row>
    <row r="31" spans="1:17" x14ac:dyDescent="0.25">
      <c r="A31" s="19"/>
      <c r="B31" s="17"/>
      <c r="C31" s="26" t="s">
        <v>108</v>
      </c>
      <c r="D31" s="26"/>
      <c r="E31" s="27"/>
      <c r="F31" s="27"/>
      <c r="G31" s="17"/>
      <c r="H31" s="17"/>
      <c r="I31" s="145"/>
      <c r="J31" s="140">
        <v>40</v>
      </c>
      <c r="K31" s="136">
        <f>SUM(K32:K37)</f>
        <v>66440348.240000002</v>
      </c>
      <c r="L31" s="136">
        <f>SUM(L32:L37)</f>
        <v>59632769.539999999</v>
      </c>
      <c r="M31" s="136">
        <f>SUM(M32:M37)</f>
        <v>77205313.319999993</v>
      </c>
      <c r="N31" s="144">
        <f>SUM(N32:N37)</f>
        <v>97353462.169999987</v>
      </c>
      <c r="O31" s="144">
        <f>SUM(O32:O37)</f>
        <v>98408076.909999996</v>
      </c>
      <c r="P31" s="144">
        <f t="shared" ref="P31" si="7">SUM(P32:P37)</f>
        <v>1050283169.25</v>
      </c>
      <c r="Q31" s="234">
        <f t="shared" ref="Q31" si="8">SUM(Q32:Q37)</f>
        <v>247770272.74000001</v>
      </c>
    </row>
    <row r="32" spans="1:17" s="37" customFormat="1" ht="12" x14ac:dyDescent="0.25">
      <c r="A32" s="57"/>
      <c r="B32" s="58"/>
      <c r="C32" s="63"/>
      <c r="D32" s="64" t="s">
        <v>198</v>
      </c>
      <c r="E32" s="63"/>
      <c r="F32" s="63"/>
      <c r="G32" s="58"/>
      <c r="H32" s="58"/>
      <c r="I32" s="146"/>
      <c r="J32" s="141" t="s">
        <v>15</v>
      </c>
      <c r="K32" s="60">
        <v>1013839.31</v>
      </c>
      <c r="L32" s="60">
        <v>1164965.3899999999</v>
      </c>
      <c r="M32" s="60">
        <v>820485.37</v>
      </c>
      <c r="N32" s="153">
        <v>1061716.75</v>
      </c>
      <c r="O32" s="153">
        <v>2085457.83</v>
      </c>
      <c r="P32" s="153">
        <v>837494636.49000001</v>
      </c>
      <c r="Q32" s="153">
        <v>49697525.890000001</v>
      </c>
    </row>
    <row r="33" spans="1:17" s="37" customFormat="1" ht="12" x14ac:dyDescent="0.25">
      <c r="A33" s="57"/>
      <c r="B33" s="58"/>
      <c r="C33" s="63"/>
      <c r="D33" s="65" t="s">
        <v>199</v>
      </c>
      <c r="E33" s="66"/>
      <c r="F33" s="66"/>
      <c r="G33" s="67"/>
      <c r="H33" s="67"/>
      <c r="I33" s="149"/>
      <c r="J33" s="141">
        <v>404</v>
      </c>
      <c r="K33" s="60">
        <v>3489726.86</v>
      </c>
      <c r="L33" s="60">
        <v>3805671.21</v>
      </c>
      <c r="M33" s="60">
        <v>3009136.8</v>
      </c>
      <c r="N33" s="154">
        <v>11737004.779999999</v>
      </c>
      <c r="O33" s="154">
        <v>8588795.6099999994</v>
      </c>
      <c r="P33" s="154">
        <v>11558198.18</v>
      </c>
      <c r="Q33" s="154">
        <v>10960792.59</v>
      </c>
    </row>
    <row r="34" spans="1:17" s="37" customFormat="1" ht="12" x14ac:dyDescent="0.25">
      <c r="A34" s="57"/>
      <c r="B34" s="58"/>
      <c r="C34" s="63"/>
      <c r="D34" s="65" t="s">
        <v>200</v>
      </c>
      <c r="E34" s="66"/>
      <c r="F34" s="66"/>
      <c r="G34" s="67"/>
      <c r="H34" s="67"/>
      <c r="I34" s="149"/>
      <c r="J34" s="141">
        <v>405</v>
      </c>
      <c r="K34" s="60">
        <v>60717949.68</v>
      </c>
      <c r="L34" s="60">
        <v>52455842.890000001</v>
      </c>
      <c r="M34" s="60">
        <v>69447881.659999996</v>
      </c>
      <c r="N34" s="154">
        <v>81078947.019999996</v>
      </c>
      <c r="O34" s="154">
        <v>85338191.989999995</v>
      </c>
      <c r="P34" s="154">
        <v>71023210.269999996</v>
      </c>
      <c r="Q34" s="154">
        <v>101601841.88</v>
      </c>
    </row>
    <row r="35" spans="1:17" s="37" customFormat="1" ht="12" x14ac:dyDescent="0.25">
      <c r="A35" s="57"/>
      <c r="B35" s="58"/>
      <c r="C35" s="63"/>
      <c r="D35" s="65" t="s">
        <v>201</v>
      </c>
      <c r="E35" s="66"/>
      <c r="F35" s="66"/>
      <c r="G35" s="67"/>
      <c r="H35" s="67"/>
      <c r="I35" s="149"/>
      <c r="J35" s="141">
        <v>406</v>
      </c>
      <c r="K35" s="60">
        <v>490882.37</v>
      </c>
      <c r="L35" s="60">
        <v>1452415.57</v>
      </c>
      <c r="M35" s="60">
        <v>2608356.33</v>
      </c>
      <c r="N35" s="154">
        <v>2672586.6</v>
      </c>
      <c r="O35" s="154">
        <v>1300560.94</v>
      </c>
      <c r="P35" s="154">
        <v>2203018.25</v>
      </c>
      <c r="Q35" s="154">
        <v>594920.56000000006</v>
      </c>
    </row>
    <row r="36" spans="1:17" s="37" customFormat="1" ht="12" x14ac:dyDescent="0.25">
      <c r="A36" s="57"/>
      <c r="B36" s="58"/>
      <c r="C36" s="63"/>
      <c r="D36" s="65" t="s">
        <v>202</v>
      </c>
      <c r="E36" s="66"/>
      <c r="F36" s="66"/>
      <c r="G36" s="67"/>
      <c r="H36" s="67"/>
      <c r="I36" s="149"/>
      <c r="J36" s="141">
        <v>407</v>
      </c>
      <c r="K36" s="60">
        <v>727950.02</v>
      </c>
      <c r="L36" s="60">
        <v>752729.33</v>
      </c>
      <c r="M36" s="60">
        <v>1319010.53</v>
      </c>
      <c r="N36" s="154">
        <v>803207.02</v>
      </c>
      <c r="O36" s="154">
        <v>1094391.79</v>
      </c>
      <c r="P36" s="154">
        <v>128004106.06</v>
      </c>
      <c r="Q36" s="154">
        <v>84913899.829999998</v>
      </c>
    </row>
    <row r="37" spans="1:17" s="37" customFormat="1" ht="12" x14ac:dyDescent="0.25">
      <c r="A37" s="57"/>
      <c r="B37" s="58"/>
      <c r="C37" s="63"/>
      <c r="D37" s="65" t="s">
        <v>203</v>
      </c>
      <c r="E37" s="66"/>
      <c r="F37" s="66"/>
      <c r="G37" s="67"/>
      <c r="H37" s="67"/>
      <c r="I37" s="149"/>
      <c r="J37" s="141">
        <v>408</v>
      </c>
      <c r="K37" s="155">
        <v>0</v>
      </c>
      <c r="L37" s="60">
        <v>1145.1500000000001</v>
      </c>
      <c r="M37" s="156">
        <v>442.63</v>
      </c>
      <c r="N37" s="153">
        <v>0</v>
      </c>
      <c r="O37" s="153">
        <v>678.75</v>
      </c>
      <c r="P37" s="153">
        <v>0</v>
      </c>
      <c r="Q37" s="153">
        <v>1291.99</v>
      </c>
    </row>
    <row r="38" spans="1:17" x14ac:dyDescent="0.25">
      <c r="A38" s="19"/>
      <c r="B38" s="17"/>
      <c r="C38" s="126" t="s">
        <v>192</v>
      </c>
      <c r="D38" s="17"/>
      <c r="E38" s="17"/>
      <c r="F38" s="17"/>
      <c r="G38" s="17"/>
      <c r="H38" s="17"/>
      <c r="I38" s="145"/>
      <c r="J38" s="140">
        <v>470</v>
      </c>
      <c r="K38" s="136">
        <v>22529036.190000001</v>
      </c>
      <c r="L38" s="136">
        <v>22913485.489999998</v>
      </c>
      <c r="M38" s="136">
        <v>28759583.949999999</v>
      </c>
      <c r="N38" s="133">
        <v>19924466.109999999</v>
      </c>
      <c r="O38" s="133">
        <v>20058887.859999999</v>
      </c>
      <c r="P38" s="133">
        <v>22956254.379999999</v>
      </c>
      <c r="Q38" s="235">
        <v>25021607.609999999</v>
      </c>
    </row>
    <row r="39" spans="1:17" x14ac:dyDescent="0.25">
      <c r="A39" s="19"/>
      <c r="B39" s="17"/>
      <c r="C39" s="18" t="s">
        <v>109</v>
      </c>
      <c r="D39" s="17"/>
      <c r="E39" s="17"/>
      <c r="F39" s="17"/>
      <c r="G39" s="17"/>
      <c r="H39" s="17"/>
      <c r="I39" s="145"/>
      <c r="J39" s="140" t="s">
        <v>16</v>
      </c>
      <c r="K39" s="136">
        <v>116311121.55</v>
      </c>
      <c r="L39" s="136">
        <v>136308483.16999999</v>
      </c>
      <c r="M39" s="136">
        <v>127475159.03</v>
      </c>
      <c r="N39" s="133">
        <v>137772999.19999999</v>
      </c>
      <c r="O39" s="133">
        <v>180642342.81999999</v>
      </c>
      <c r="P39" s="133">
        <v>137539245.13</v>
      </c>
      <c r="Q39" s="235">
        <v>136316599.09999999</v>
      </c>
    </row>
    <row r="40" spans="1:17" x14ac:dyDescent="0.25">
      <c r="A40" s="19"/>
      <c r="B40" s="17"/>
      <c r="C40" s="18" t="s">
        <v>110</v>
      </c>
      <c r="D40" s="17"/>
      <c r="E40" s="17"/>
      <c r="F40" s="17"/>
      <c r="G40" s="17"/>
      <c r="H40" s="17"/>
      <c r="I40" s="145"/>
      <c r="J40" s="140">
        <v>41</v>
      </c>
      <c r="K40" s="136">
        <v>124181760.12</v>
      </c>
      <c r="L40" s="136">
        <v>199117634.03999999</v>
      </c>
      <c r="M40" s="136">
        <v>176203903.38</v>
      </c>
      <c r="N40" s="133">
        <v>184642552.22</v>
      </c>
      <c r="O40" s="133">
        <v>126507483.62</v>
      </c>
      <c r="P40" s="133">
        <v>331192069.92000002</v>
      </c>
      <c r="Q40" s="235">
        <v>346068556.67000002</v>
      </c>
    </row>
    <row r="41" spans="1:17" x14ac:dyDescent="0.25">
      <c r="A41" s="19"/>
      <c r="B41" s="17"/>
      <c r="C41" s="18" t="s">
        <v>111</v>
      </c>
      <c r="D41" s="17"/>
      <c r="E41" s="17"/>
      <c r="F41" s="17"/>
      <c r="G41" s="17"/>
      <c r="H41" s="17"/>
      <c r="I41" s="145"/>
      <c r="J41" s="140">
        <v>42</v>
      </c>
      <c r="K41" s="136">
        <v>1410268.43</v>
      </c>
      <c r="L41" s="136">
        <v>1620616.92</v>
      </c>
      <c r="M41" s="136">
        <v>1445348.53</v>
      </c>
      <c r="N41" s="133">
        <v>1576408.15</v>
      </c>
      <c r="O41" s="133">
        <v>1263878.23</v>
      </c>
      <c r="P41" s="133">
        <v>506882.23</v>
      </c>
      <c r="Q41" s="235">
        <v>355312.99</v>
      </c>
    </row>
    <row r="42" spans="1:17" ht="17.100000000000001" customHeight="1" x14ac:dyDescent="0.25">
      <c r="A42" s="16" t="s">
        <v>17</v>
      </c>
      <c r="B42" s="18" t="s">
        <v>112</v>
      </c>
      <c r="C42" s="17"/>
      <c r="D42" s="17"/>
      <c r="E42" s="17"/>
      <c r="F42" s="17"/>
      <c r="G42" s="17"/>
      <c r="H42" s="17"/>
      <c r="I42" s="145"/>
      <c r="J42" s="140" t="s">
        <v>18</v>
      </c>
      <c r="K42" s="136">
        <f>SUM(K43:K45)</f>
        <v>1737552974.21</v>
      </c>
      <c r="L42" s="136">
        <f>SUM(L43:L45)</f>
        <v>1699968010.6599998</v>
      </c>
      <c r="M42" s="136">
        <f>SUM(M43:M45)</f>
        <v>1671033403.5699999</v>
      </c>
      <c r="N42" s="134">
        <f>SUM(N43:N45)</f>
        <v>1574637869.3</v>
      </c>
      <c r="O42" s="134">
        <f>SUM(O43:O45)</f>
        <v>1555684439.4900002</v>
      </c>
      <c r="P42" s="134">
        <f t="shared" ref="P42:Q42" si="9">SUM(P43:P45)</f>
        <v>1539008660.0500002</v>
      </c>
      <c r="Q42" s="134">
        <f t="shared" si="9"/>
        <v>1597840000.0099998</v>
      </c>
    </row>
    <row r="43" spans="1:17" ht="12.75" customHeight="1" x14ac:dyDescent="0.25">
      <c r="A43" s="16"/>
      <c r="B43" s="18"/>
      <c r="C43" s="18" t="s">
        <v>113</v>
      </c>
      <c r="D43" s="17"/>
      <c r="E43" s="17"/>
      <c r="F43" s="17"/>
      <c r="G43" s="17"/>
      <c r="H43" s="17"/>
      <c r="I43" s="145"/>
      <c r="J43" s="140">
        <v>51</v>
      </c>
      <c r="K43" s="136">
        <v>1069006259.62</v>
      </c>
      <c r="L43" s="136">
        <v>1058740475.3099999</v>
      </c>
      <c r="M43" s="136">
        <v>1061962995.28</v>
      </c>
      <c r="N43" s="133">
        <v>1095446148.8399999</v>
      </c>
      <c r="O43" s="133">
        <v>1152733515.47</v>
      </c>
      <c r="P43" s="133">
        <v>1114419185.99</v>
      </c>
      <c r="Q43" s="235">
        <v>1235301026.3499999</v>
      </c>
    </row>
    <row r="44" spans="1:17" x14ac:dyDescent="0.25">
      <c r="A44" s="19"/>
      <c r="B44" s="17"/>
      <c r="C44" s="18" t="s">
        <v>114</v>
      </c>
      <c r="D44" s="17"/>
      <c r="E44" s="17"/>
      <c r="F44" s="17"/>
      <c r="G44" s="17"/>
      <c r="H44" s="17"/>
      <c r="I44" s="145"/>
      <c r="J44" s="140">
        <v>52</v>
      </c>
      <c r="K44" s="136">
        <v>449068342.31999999</v>
      </c>
      <c r="L44" s="136">
        <v>378382404.31</v>
      </c>
      <c r="M44" s="136">
        <v>338620600.52999997</v>
      </c>
      <c r="N44" s="134">
        <v>204315176.15000001</v>
      </c>
      <c r="O44" s="134">
        <v>154914158.91</v>
      </c>
      <c r="P44" s="134">
        <v>174675192.37</v>
      </c>
      <c r="Q44" s="235">
        <v>153940814.09</v>
      </c>
    </row>
    <row r="45" spans="1:17" x14ac:dyDescent="0.25">
      <c r="A45" s="19"/>
      <c r="B45" s="17"/>
      <c r="C45" s="18" t="s">
        <v>115</v>
      </c>
      <c r="D45" s="17"/>
      <c r="E45" s="17"/>
      <c r="F45" s="17"/>
      <c r="G45" s="17"/>
      <c r="H45" s="17"/>
      <c r="I45" s="145"/>
      <c r="J45" s="140">
        <v>53</v>
      </c>
      <c r="K45" s="136">
        <v>219478372.27000001</v>
      </c>
      <c r="L45" s="136">
        <v>262845131.03999999</v>
      </c>
      <c r="M45" s="136">
        <v>270449807.75999999</v>
      </c>
      <c r="N45" s="134">
        <v>274876544.31</v>
      </c>
      <c r="O45" s="134">
        <v>248036765.11000001</v>
      </c>
      <c r="P45" s="134">
        <v>249914281.69</v>
      </c>
      <c r="Q45" s="235">
        <v>208598159.56999999</v>
      </c>
    </row>
    <row r="46" spans="1:17" ht="17.100000000000001" customHeight="1" x14ac:dyDescent="0.25">
      <c r="A46" s="16" t="s">
        <v>19</v>
      </c>
      <c r="B46" s="18" t="s">
        <v>116</v>
      </c>
      <c r="C46" s="17"/>
      <c r="D46" s="17"/>
      <c r="E46" s="17"/>
      <c r="F46" s="17"/>
      <c r="G46" s="17"/>
      <c r="H46" s="17"/>
      <c r="I46" s="145"/>
      <c r="J46" s="140" t="s">
        <v>20</v>
      </c>
      <c r="K46" s="136">
        <v>363639967.23000002</v>
      </c>
      <c r="L46" s="136">
        <v>405610584.64999998</v>
      </c>
      <c r="M46" s="136">
        <v>484907271.33999997</v>
      </c>
      <c r="N46" s="134">
        <v>603502617.26999998</v>
      </c>
      <c r="O46" s="134">
        <v>589106340.25</v>
      </c>
      <c r="P46" s="134">
        <v>639121843.72000003</v>
      </c>
      <c r="Q46" s="134">
        <v>792483163.88999999</v>
      </c>
    </row>
    <row r="47" spans="1:17" ht="17.100000000000001" customHeight="1" x14ac:dyDescent="0.25">
      <c r="A47" s="16" t="s">
        <v>117</v>
      </c>
      <c r="B47" s="18" t="s">
        <v>118</v>
      </c>
      <c r="C47" s="17"/>
      <c r="D47" s="17"/>
      <c r="E47" s="17"/>
      <c r="F47" s="17"/>
      <c r="G47" s="17"/>
      <c r="H47" s="17"/>
      <c r="I47" s="145"/>
      <c r="J47" s="140" t="s">
        <v>21</v>
      </c>
      <c r="K47" s="136">
        <v>33468920.289999999</v>
      </c>
      <c r="L47" s="136">
        <v>29692806.510000002</v>
      </c>
      <c r="M47" s="136">
        <v>28069861.289999999</v>
      </c>
      <c r="N47" s="133">
        <v>21214616.219999999</v>
      </c>
      <c r="O47" s="133">
        <v>22237701.91</v>
      </c>
      <c r="P47" s="133">
        <v>24529734.699999999</v>
      </c>
      <c r="Q47" s="133">
        <v>26430223.039999999</v>
      </c>
    </row>
    <row r="48" spans="1:17" ht="6" customHeight="1" x14ac:dyDescent="0.25">
      <c r="A48" s="19"/>
      <c r="B48" s="17"/>
      <c r="C48" s="17"/>
      <c r="D48" s="17"/>
      <c r="E48" s="17"/>
      <c r="F48" s="17"/>
      <c r="G48" s="17"/>
      <c r="H48" s="17"/>
      <c r="I48" s="10"/>
      <c r="J48" s="46"/>
      <c r="K48" s="138"/>
      <c r="L48" s="138"/>
      <c r="M48" s="138"/>
      <c r="N48" s="134"/>
      <c r="O48" s="134"/>
      <c r="P48" s="232"/>
      <c r="Q48" s="20"/>
    </row>
    <row r="49" spans="1:17" ht="18" customHeight="1" x14ac:dyDescent="0.25">
      <c r="A49" s="31" t="s">
        <v>246</v>
      </c>
      <c r="B49" s="32"/>
      <c r="C49" s="32"/>
      <c r="D49" s="32"/>
      <c r="E49" s="32"/>
      <c r="F49" s="32"/>
      <c r="G49" s="32"/>
      <c r="H49" s="32"/>
      <c r="I49" s="32"/>
      <c r="J49" s="14" t="s">
        <v>22</v>
      </c>
      <c r="K49" s="56">
        <f>K27+K7+K8</f>
        <v>2743940292.46</v>
      </c>
      <c r="L49" s="56">
        <f t="shared" ref="L49:Q49" si="10">L27+L7+L8</f>
        <v>2827050926.5200005</v>
      </c>
      <c r="M49" s="56">
        <f t="shared" si="10"/>
        <v>2864880862.27</v>
      </c>
      <c r="N49" s="55">
        <f t="shared" si="10"/>
        <v>2919454732.8399997</v>
      </c>
      <c r="O49" s="55">
        <f t="shared" si="10"/>
        <v>2875327820.1600003</v>
      </c>
      <c r="P49" s="56">
        <f t="shared" si="10"/>
        <v>4001101155.5400004</v>
      </c>
      <c r="Q49" s="55">
        <f t="shared" si="10"/>
        <v>3426685226.7399998</v>
      </c>
    </row>
    <row r="50" spans="1:17" ht="6.75" customHeight="1" thickBot="1" x14ac:dyDescent="0.3">
      <c r="A50" s="33"/>
      <c r="B50" s="34"/>
      <c r="C50" s="34"/>
      <c r="D50" s="34"/>
      <c r="E50" s="34"/>
      <c r="F50" s="34"/>
      <c r="G50" s="34"/>
      <c r="H50" s="34"/>
      <c r="I50" s="34"/>
      <c r="J50" s="143"/>
      <c r="K50" s="35"/>
      <c r="L50" s="35"/>
      <c r="M50" s="35"/>
      <c r="N50" s="150"/>
      <c r="O50" s="150"/>
      <c r="P50" s="150"/>
      <c r="Q50" s="52"/>
    </row>
    <row r="51" spans="1:17" ht="13.8" thickTop="1" x14ac:dyDescent="0.25">
      <c r="A51" s="2" t="s">
        <v>23</v>
      </c>
      <c r="J51" s="36"/>
      <c r="K51" s="36"/>
      <c r="L51" s="36"/>
    </row>
    <row r="52" spans="1:17" x14ac:dyDescent="0.25">
      <c r="J52" s="2"/>
      <c r="K52" s="2"/>
      <c r="L52" s="2"/>
    </row>
    <row r="53" spans="1:17" x14ac:dyDescent="0.25">
      <c r="J53" s="2"/>
      <c r="K53" s="2"/>
      <c r="L53" s="2"/>
    </row>
    <row r="54" spans="1:17" x14ac:dyDescent="0.25">
      <c r="J54" s="2"/>
      <c r="K54" s="2"/>
      <c r="L54" s="2"/>
    </row>
    <row r="55" spans="1:17" x14ac:dyDescent="0.25">
      <c r="J55" s="2"/>
      <c r="K55" s="2"/>
      <c r="L55" s="2"/>
    </row>
  </sheetData>
  <mergeCells count="1">
    <mergeCell ref="A3:M3"/>
  </mergeCells>
  <pageMargins left="0.19685039370078741" right="0.23622047244094491" top="0.78740157480314965" bottom="0.47244094488188981" header="0.51181102362204722" footer="0.19685039370078741"/>
  <pageSetup paperSize="9" scale="87" orientation="portrait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showGridLines="0" tabSelected="1" zoomScaleNormal="100" zoomScaleSheetLayoutView="120" workbookViewId="0">
      <selection activeCell="N28" sqref="N28"/>
    </sheetView>
  </sheetViews>
  <sheetFormatPr defaultColWidth="12" defaultRowHeight="13.2" x14ac:dyDescent="0.25"/>
  <cols>
    <col min="1" max="1" width="4.44140625" style="2" customWidth="1"/>
    <col min="2" max="2" width="1" style="2" customWidth="1"/>
    <col min="3" max="3" width="5.44140625" style="2" customWidth="1"/>
    <col min="4" max="4" width="6.77734375" style="2" customWidth="1"/>
    <col min="5" max="6" width="12" style="2" customWidth="1"/>
    <col min="7" max="7" width="10" style="2" customWidth="1"/>
    <col min="8" max="8" width="2.6640625" style="2" customWidth="1"/>
    <col min="9" max="9" width="3" style="2" customWidth="1"/>
    <col min="10" max="10" width="9.77734375" style="38" customWidth="1"/>
    <col min="11" max="12" width="18.77734375" style="38" customWidth="1"/>
    <col min="13" max="16" width="18.77734375" style="2" customWidth="1"/>
    <col min="17" max="17" width="18.33203125" style="2" customWidth="1"/>
    <col min="18" max="16384" width="12" style="2"/>
  </cols>
  <sheetData>
    <row r="1" spans="1:17" ht="17.399999999999999" x14ac:dyDescent="0.3">
      <c r="A1" s="125" t="s">
        <v>81</v>
      </c>
    </row>
    <row r="3" spans="1:17" ht="16.5" customHeight="1" x14ac:dyDescent="0.25">
      <c r="A3" s="279" t="s">
        <v>119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7" ht="24.9" customHeight="1" x14ac:dyDescent="0.25"/>
    <row r="5" spans="1:17" ht="13.8" x14ac:dyDescent="0.25">
      <c r="A5" s="128" t="s">
        <v>120</v>
      </c>
      <c r="B5" s="4"/>
      <c r="C5" s="5"/>
      <c r="D5" s="5"/>
      <c r="E5" s="5"/>
      <c r="F5" s="5"/>
      <c r="G5" s="5"/>
      <c r="H5" s="5"/>
      <c r="I5" s="6"/>
      <c r="J5" s="7" t="s">
        <v>0</v>
      </c>
      <c r="K5" s="7">
        <v>2014</v>
      </c>
      <c r="L5" s="7">
        <v>2015</v>
      </c>
      <c r="M5" s="7">
        <v>2016</v>
      </c>
      <c r="N5" s="7">
        <v>2017</v>
      </c>
      <c r="O5" s="7">
        <v>2018</v>
      </c>
      <c r="P5" s="7">
        <v>2019</v>
      </c>
      <c r="Q5" s="7">
        <v>2020</v>
      </c>
    </row>
    <row r="6" spans="1:17" x14ac:dyDescent="0.25">
      <c r="A6" s="8"/>
      <c r="B6" s="9"/>
      <c r="C6" s="9"/>
      <c r="D6" s="9"/>
      <c r="E6" s="9"/>
      <c r="F6" s="9"/>
      <c r="G6" s="9"/>
      <c r="H6" s="9"/>
      <c r="I6" s="10"/>
      <c r="J6" s="11"/>
      <c r="K6" s="12"/>
      <c r="L6" s="12"/>
      <c r="M6" s="12"/>
      <c r="N6" s="12"/>
      <c r="O6" s="12"/>
      <c r="P6" s="12"/>
      <c r="Q6" s="20"/>
    </row>
    <row r="7" spans="1:17" ht="19.95" customHeight="1" x14ac:dyDescent="0.25">
      <c r="A7" s="13" t="s">
        <v>208</v>
      </c>
      <c r="B7" s="4"/>
      <c r="C7" s="5"/>
      <c r="D7" s="5"/>
      <c r="E7" s="5"/>
      <c r="F7" s="5"/>
      <c r="G7" s="5"/>
      <c r="H7" s="5"/>
      <c r="I7" s="5"/>
      <c r="J7" s="39" t="s">
        <v>24</v>
      </c>
      <c r="K7" s="55">
        <f>K8+K14</f>
        <v>1605129704.22</v>
      </c>
      <c r="L7" s="55">
        <f>L8+L14</f>
        <v>1694568129.2799997</v>
      </c>
      <c r="M7" s="55">
        <f>M8+M14</f>
        <v>1684671625.9999998</v>
      </c>
      <c r="N7" s="55">
        <f>N8+N14</f>
        <v>1696979915.6900001</v>
      </c>
      <c r="O7" s="55">
        <f>+O8+O13</f>
        <v>1656347705.5699999</v>
      </c>
      <c r="P7" s="55">
        <f>P8+P13</f>
        <v>1669441418.99</v>
      </c>
      <c r="Q7" s="55">
        <f>Q8+Q13</f>
        <v>1815500816.0900002</v>
      </c>
    </row>
    <row r="8" spans="1:17" ht="17.25" customHeight="1" x14ac:dyDescent="0.25">
      <c r="A8" s="16" t="s">
        <v>121</v>
      </c>
      <c r="B8" s="131" t="s">
        <v>206</v>
      </c>
      <c r="D8" s="17"/>
      <c r="E8" s="17"/>
      <c r="F8" s="17"/>
      <c r="G8" s="17"/>
      <c r="H8" s="17"/>
      <c r="I8" s="17"/>
      <c r="J8" s="240">
        <v>13</v>
      </c>
      <c r="K8" s="15">
        <f>SUM(K10:K12)</f>
        <v>1605673206.9200001</v>
      </c>
      <c r="L8" s="15">
        <f>SUM(L10:L12)</f>
        <v>1695541540.1599998</v>
      </c>
      <c r="M8" s="15">
        <f>SUM(M10:M12)</f>
        <v>1688488289.4099998</v>
      </c>
      <c r="N8" s="15">
        <f>SUM(N10:N12)</f>
        <v>1698504890.8400002</v>
      </c>
      <c r="O8" s="136">
        <f>+O9+O11</f>
        <v>1609327117.01</v>
      </c>
      <c r="P8" s="136">
        <f>+P9+P11</f>
        <v>1623656453.3299999</v>
      </c>
      <c r="Q8" s="136">
        <f>+Q9+Q11</f>
        <v>1768015654.3600001</v>
      </c>
    </row>
    <row r="9" spans="1:17" ht="13.2" customHeight="1" x14ac:dyDescent="0.25">
      <c r="A9" s="183"/>
      <c r="B9" s="130"/>
      <c r="C9" s="130" t="s">
        <v>222</v>
      </c>
      <c r="D9" s="17"/>
      <c r="E9" s="17"/>
      <c r="F9" s="17"/>
      <c r="G9" s="17"/>
      <c r="H9" s="17"/>
      <c r="I9" s="17"/>
      <c r="J9" s="240" t="s">
        <v>254</v>
      </c>
      <c r="K9" s="158"/>
      <c r="L9" s="158"/>
      <c r="M9" s="158"/>
      <c r="N9" s="157"/>
      <c r="O9" s="166">
        <v>1410771148.4400001</v>
      </c>
      <c r="P9" s="166">
        <v>1466585221.21</v>
      </c>
      <c r="Q9" s="235">
        <v>1610339561.71</v>
      </c>
    </row>
    <row r="10" spans="1:17" x14ac:dyDescent="0.25">
      <c r="A10" s="184"/>
      <c r="B10" s="29"/>
      <c r="C10" s="185" t="s">
        <v>220</v>
      </c>
      <c r="D10" s="17"/>
      <c r="E10" s="17"/>
      <c r="F10" s="17"/>
      <c r="G10" s="17"/>
      <c r="H10" s="17"/>
      <c r="I10" s="17"/>
      <c r="J10" s="240" t="s">
        <v>25</v>
      </c>
      <c r="K10" s="15">
        <v>808831119.16999996</v>
      </c>
      <c r="L10" s="15">
        <v>826484984.73000002</v>
      </c>
      <c r="M10" s="15">
        <v>804576803.29999995</v>
      </c>
      <c r="N10" s="136">
        <v>791516733.71000004</v>
      </c>
      <c r="O10" s="157"/>
      <c r="P10" s="157"/>
      <c r="Q10" s="157"/>
    </row>
    <row r="11" spans="1:17" x14ac:dyDescent="0.25">
      <c r="A11" s="184"/>
      <c r="B11" s="29"/>
      <c r="C11" s="185" t="s">
        <v>223</v>
      </c>
      <c r="D11" s="17"/>
      <c r="E11" s="17"/>
      <c r="F11" s="17"/>
      <c r="G11" s="17"/>
      <c r="H11" s="17"/>
      <c r="I11" s="17"/>
      <c r="J11" s="240" t="s">
        <v>255</v>
      </c>
      <c r="K11" s="158"/>
      <c r="L11" s="158"/>
      <c r="M11" s="158"/>
      <c r="N11" s="157"/>
      <c r="O11" s="166">
        <v>198555968.56999999</v>
      </c>
      <c r="P11" s="166">
        <v>157071232.12</v>
      </c>
      <c r="Q11" s="235">
        <v>157676092.65000001</v>
      </c>
    </row>
    <row r="12" spans="1:17" x14ac:dyDescent="0.25">
      <c r="A12" s="184"/>
      <c r="B12" s="29"/>
      <c r="C12" s="185" t="s">
        <v>221</v>
      </c>
      <c r="D12" s="17"/>
      <c r="E12" s="17"/>
      <c r="F12" s="17"/>
      <c r="G12" s="17"/>
      <c r="H12" s="17"/>
      <c r="I12" s="17"/>
      <c r="J12" s="240">
        <v>1398</v>
      </c>
      <c r="K12" s="15">
        <v>796842087.75</v>
      </c>
      <c r="L12" s="15">
        <v>869056555.42999995</v>
      </c>
      <c r="M12" s="15">
        <v>883911486.11000001</v>
      </c>
      <c r="N12" s="136">
        <v>906988157.13</v>
      </c>
      <c r="O12" s="157"/>
      <c r="P12" s="157"/>
      <c r="Q12" s="157"/>
    </row>
    <row r="13" spans="1:17" x14ac:dyDescent="0.25">
      <c r="A13" s="183" t="s">
        <v>26</v>
      </c>
      <c r="B13" s="130" t="s">
        <v>224</v>
      </c>
      <c r="C13" s="41"/>
      <c r="D13" s="17"/>
      <c r="E13" s="17"/>
      <c r="F13" s="17"/>
      <c r="G13" s="17"/>
      <c r="H13" s="17"/>
      <c r="I13" s="17"/>
      <c r="J13" s="240" t="s">
        <v>256</v>
      </c>
      <c r="K13" s="158"/>
      <c r="L13" s="158"/>
      <c r="M13" s="158"/>
      <c r="N13" s="157"/>
      <c r="O13" s="166">
        <v>47020588.560000002</v>
      </c>
      <c r="P13" s="166">
        <v>45784965.659999996</v>
      </c>
      <c r="Q13" s="235">
        <v>47485161.729999997</v>
      </c>
    </row>
    <row r="14" spans="1:17" ht="17.100000000000001" customHeight="1" x14ac:dyDescent="0.25">
      <c r="A14" s="183" t="s">
        <v>26</v>
      </c>
      <c r="B14" s="41" t="s">
        <v>124</v>
      </c>
      <c r="C14" s="29"/>
      <c r="D14" s="17"/>
      <c r="E14" s="17"/>
      <c r="F14" s="17"/>
      <c r="G14" s="17"/>
      <c r="H14" s="17"/>
      <c r="I14" s="17"/>
      <c r="J14" s="240">
        <v>14</v>
      </c>
      <c r="K14" s="15">
        <f>SUM(K15:K16)</f>
        <v>-543502.69999999995</v>
      </c>
      <c r="L14" s="15">
        <f>SUM(L15:L16)</f>
        <v>-973410.88</v>
      </c>
      <c r="M14" s="15">
        <f>SUM(M15:M16)</f>
        <v>-3816663.41</v>
      </c>
      <c r="N14" s="136">
        <v>-1524975.15</v>
      </c>
      <c r="O14" s="157"/>
      <c r="P14" s="157"/>
      <c r="Q14" s="157"/>
    </row>
    <row r="15" spans="1:17" x14ac:dyDescent="0.25">
      <c r="A15" s="19"/>
      <c r="B15" s="17"/>
      <c r="C15" s="18" t="s">
        <v>122</v>
      </c>
      <c r="D15" s="17"/>
      <c r="E15" s="17"/>
      <c r="F15" s="17"/>
      <c r="G15" s="17"/>
      <c r="H15" s="17"/>
      <c r="I15" s="17" t="s">
        <v>27</v>
      </c>
      <c r="J15" s="240" t="s">
        <v>28</v>
      </c>
      <c r="K15" s="15">
        <v>-332844.44</v>
      </c>
      <c r="L15" s="15">
        <v>-377615.74</v>
      </c>
      <c r="M15" s="15">
        <v>-1084060.51</v>
      </c>
      <c r="N15" s="136">
        <v>-1524975.15</v>
      </c>
      <c r="O15" s="157"/>
      <c r="P15" s="157"/>
      <c r="Q15" s="157"/>
    </row>
    <row r="16" spans="1:17" x14ac:dyDescent="0.25">
      <c r="A16" s="19"/>
      <c r="B16" s="17"/>
      <c r="C16" s="18" t="s">
        <v>123</v>
      </c>
      <c r="D16" s="17"/>
      <c r="E16" s="17"/>
      <c r="F16" s="17"/>
      <c r="G16" s="17"/>
      <c r="H16" s="17"/>
      <c r="I16" s="17" t="s">
        <v>27</v>
      </c>
      <c r="J16" s="240">
        <v>1498</v>
      </c>
      <c r="K16" s="15">
        <v>-210658.26</v>
      </c>
      <c r="L16" s="15">
        <v>-595795.14</v>
      </c>
      <c r="M16" s="15">
        <v>-2732602.9</v>
      </c>
      <c r="N16" s="136">
        <v>0</v>
      </c>
      <c r="O16" s="157"/>
      <c r="P16" s="157"/>
      <c r="Q16" s="157"/>
    </row>
    <row r="17" spans="1:17" ht="19.95" customHeight="1" x14ac:dyDescent="0.25">
      <c r="A17" s="21" t="s">
        <v>125</v>
      </c>
      <c r="B17" s="22"/>
      <c r="C17" s="40"/>
      <c r="D17" s="40"/>
      <c r="E17" s="40"/>
      <c r="F17" s="40"/>
      <c r="G17" s="40"/>
      <c r="H17" s="40"/>
      <c r="I17" s="40"/>
      <c r="J17" s="24">
        <v>16</v>
      </c>
      <c r="K17" s="56">
        <f>SUM(K18:K19)</f>
        <v>417935016.62</v>
      </c>
      <c r="L17" s="56">
        <f>SUM(L18:L19)</f>
        <v>374232526.62</v>
      </c>
      <c r="M17" s="56">
        <f>SUM(M18:M19)</f>
        <v>346298414.53999996</v>
      </c>
      <c r="N17" s="56">
        <f>SUM(N18:N19)</f>
        <v>302947927.25999999</v>
      </c>
      <c r="O17" s="56">
        <f>SUM(O18:O19)</f>
        <v>277302180.29000002</v>
      </c>
      <c r="P17" s="56">
        <f t="shared" ref="P17:Q17" si="0">SUM(P18:P19)</f>
        <v>255459136.28999999</v>
      </c>
      <c r="Q17" s="56">
        <f t="shared" si="0"/>
        <v>250008414.16999999</v>
      </c>
    </row>
    <row r="18" spans="1:17" ht="17.25" customHeight="1" x14ac:dyDescent="0.25">
      <c r="A18" s="16" t="s">
        <v>29</v>
      </c>
      <c r="B18" s="126" t="s">
        <v>195</v>
      </c>
      <c r="C18" s="17"/>
      <c r="D18" s="17"/>
      <c r="E18" s="17"/>
      <c r="F18" s="17"/>
      <c r="G18" s="17"/>
      <c r="H18" s="17"/>
      <c r="I18" s="17"/>
      <c r="J18" s="240">
        <v>160</v>
      </c>
      <c r="K18" s="15">
        <v>261731496.08000001</v>
      </c>
      <c r="L18" s="15">
        <v>241006561.27000001</v>
      </c>
      <c r="M18" s="15">
        <v>229201107.22</v>
      </c>
      <c r="N18" s="136">
        <v>204912585.91</v>
      </c>
      <c r="O18" s="136">
        <v>187641024.5</v>
      </c>
      <c r="P18" s="136">
        <v>170420709.56999999</v>
      </c>
      <c r="Q18" s="136">
        <v>154530311.53999999</v>
      </c>
    </row>
    <row r="19" spans="1:17" ht="17.100000000000001" customHeight="1" x14ac:dyDescent="0.25">
      <c r="A19" s="16" t="s">
        <v>5</v>
      </c>
      <c r="B19" s="18" t="s">
        <v>126</v>
      </c>
      <c r="C19" s="17"/>
      <c r="D19" s="17"/>
      <c r="E19" s="17"/>
      <c r="F19" s="17"/>
      <c r="G19" s="17"/>
      <c r="H19" s="17"/>
      <c r="I19" s="17"/>
      <c r="J19" s="240" t="s">
        <v>30</v>
      </c>
      <c r="K19" s="15">
        <v>156203520.53999999</v>
      </c>
      <c r="L19" s="15">
        <v>133225965.34999999</v>
      </c>
      <c r="M19" s="15">
        <v>117097307.31999999</v>
      </c>
      <c r="N19" s="136">
        <v>98035341.349999994</v>
      </c>
      <c r="O19" s="136">
        <v>89661155.790000007</v>
      </c>
      <c r="P19" s="136">
        <v>85038426.719999999</v>
      </c>
      <c r="Q19" s="136">
        <v>95478102.629999995</v>
      </c>
    </row>
    <row r="20" spans="1:17" ht="19.95" customHeight="1" x14ac:dyDescent="0.25">
      <c r="A20" s="21" t="s">
        <v>127</v>
      </c>
      <c r="B20" s="22"/>
      <c r="C20" s="22"/>
      <c r="D20" s="22"/>
      <c r="E20" s="22"/>
      <c r="F20" s="22"/>
      <c r="G20" s="22"/>
      <c r="H20" s="22"/>
      <c r="I20" s="22"/>
      <c r="J20" s="24" t="s">
        <v>31</v>
      </c>
      <c r="K20" s="56">
        <f t="shared" ref="K20:Q20" si="1">K21+K28+K45</f>
        <v>720875571.62</v>
      </c>
      <c r="L20" s="56">
        <f t="shared" si="1"/>
        <v>758250270.62</v>
      </c>
      <c r="M20" s="56">
        <f t="shared" si="1"/>
        <v>833910821.7299999</v>
      </c>
      <c r="N20" s="56">
        <f t="shared" si="1"/>
        <v>919526889.88999999</v>
      </c>
      <c r="O20" s="56">
        <f t="shared" si="1"/>
        <v>941677934.29999995</v>
      </c>
      <c r="P20" s="56">
        <f t="shared" si="1"/>
        <v>2076200600.26</v>
      </c>
      <c r="Q20" s="56">
        <f t="shared" si="1"/>
        <v>1361175996.4799998</v>
      </c>
    </row>
    <row r="21" spans="1:17" ht="17.25" customHeight="1" x14ac:dyDescent="0.25">
      <c r="A21" s="16" t="s">
        <v>8</v>
      </c>
      <c r="B21" s="18" t="s">
        <v>128</v>
      </c>
      <c r="C21" s="17"/>
      <c r="D21" s="17"/>
      <c r="E21" s="17"/>
      <c r="F21" s="17"/>
      <c r="G21" s="17"/>
      <c r="H21" s="17"/>
      <c r="I21" s="17"/>
      <c r="J21" s="240" t="s">
        <v>32</v>
      </c>
      <c r="K21" s="15">
        <f>SUM(K22:K27)</f>
        <v>217754541.34</v>
      </c>
      <c r="L21" s="15">
        <f>SUM(L22:L27)</f>
        <v>218747258.78999999</v>
      </c>
      <c r="M21" s="15">
        <f>SUM(M22:M27)</f>
        <v>222418106.78</v>
      </c>
      <c r="N21" s="15">
        <f>SUM(N22:N27)</f>
        <v>236919525.27000001</v>
      </c>
      <c r="O21" s="136">
        <f>SUM(O22:O25)</f>
        <v>256088625.39000002</v>
      </c>
      <c r="P21" s="136">
        <f t="shared" ref="P21:Q21" si="2">SUM(P22:P25)</f>
        <v>220702043.5</v>
      </c>
      <c r="Q21" s="136">
        <f t="shared" si="2"/>
        <v>185681041.18000001</v>
      </c>
    </row>
    <row r="22" spans="1:17" ht="17.25" customHeight="1" x14ac:dyDescent="0.25">
      <c r="A22" s="16"/>
      <c r="B22" s="18"/>
      <c r="C22" s="29" t="s">
        <v>129</v>
      </c>
      <c r="D22" s="29"/>
      <c r="E22" s="29"/>
      <c r="F22" s="29"/>
      <c r="G22" s="29"/>
      <c r="H22" s="29"/>
      <c r="I22" s="29"/>
      <c r="J22" s="240" t="s">
        <v>33</v>
      </c>
      <c r="K22" s="15">
        <v>10055762.539999999</v>
      </c>
      <c r="L22" s="15">
        <v>12925756.41</v>
      </c>
      <c r="M22" s="15">
        <v>9963652.7699999996</v>
      </c>
      <c r="N22" s="136">
        <v>8306381.1299999999</v>
      </c>
      <c r="O22" s="136">
        <v>7406570.04</v>
      </c>
      <c r="P22" s="136">
        <v>6497052.2400000002</v>
      </c>
      <c r="Q22" s="136">
        <v>5577346.7300000004</v>
      </c>
    </row>
    <row r="23" spans="1:17" x14ac:dyDescent="0.25">
      <c r="A23" s="19"/>
      <c r="B23" s="17"/>
      <c r="C23" s="41" t="s">
        <v>130</v>
      </c>
      <c r="D23" s="29"/>
      <c r="E23" s="29"/>
      <c r="F23" s="29"/>
      <c r="G23" s="29"/>
      <c r="H23" s="29"/>
      <c r="I23" s="29"/>
      <c r="J23" s="240">
        <v>18</v>
      </c>
      <c r="K23" s="15">
        <v>164411172.81</v>
      </c>
      <c r="L23" s="15">
        <v>155793861.66999999</v>
      </c>
      <c r="M23" s="15">
        <v>144430135.63</v>
      </c>
      <c r="N23" s="136">
        <v>131568527.44</v>
      </c>
      <c r="O23" s="136">
        <v>119761570.11</v>
      </c>
      <c r="P23" s="136">
        <v>106940279.67</v>
      </c>
      <c r="Q23" s="235">
        <v>95018173.959999993</v>
      </c>
    </row>
    <row r="24" spans="1:17" x14ac:dyDescent="0.25">
      <c r="A24" s="19"/>
      <c r="B24" s="17"/>
      <c r="C24" s="41" t="s">
        <v>131</v>
      </c>
      <c r="D24" s="29"/>
      <c r="E24" s="29"/>
      <c r="F24" s="29"/>
      <c r="G24" s="29"/>
      <c r="H24" s="29"/>
      <c r="I24" s="29"/>
      <c r="J24" s="240">
        <v>19</v>
      </c>
      <c r="K24" s="15">
        <v>24736216.469999999</v>
      </c>
      <c r="L24" s="15">
        <v>30498463.899999999</v>
      </c>
      <c r="M24" s="15">
        <v>46904773.630000003</v>
      </c>
      <c r="N24" s="136">
        <v>75448456.989999995</v>
      </c>
      <c r="O24" s="136">
        <v>107996143.18000001</v>
      </c>
      <c r="P24" s="136">
        <v>87668937.5</v>
      </c>
      <c r="Q24" s="235">
        <v>62918152.060000002</v>
      </c>
    </row>
    <row r="25" spans="1:17" x14ac:dyDescent="0.25">
      <c r="A25" s="19"/>
      <c r="B25" s="17"/>
      <c r="C25" s="41" t="s">
        <v>132</v>
      </c>
      <c r="D25" s="29"/>
      <c r="E25" s="29"/>
      <c r="F25" s="29"/>
      <c r="G25" s="29"/>
      <c r="H25" s="29"/>
      <c r="I25" s="29"/>
      <c r="J25" s="240" t="s">
        <v>34</v>
      </c>
      <c r="K25" s="15">
        <v>18551389.52</v>
      </c>
      <c r="L25" s="15">
        <v>19529176.809999999</v>
      </c>
      <c r="M25" s="15">
        <v>21119544.75</v>
      </c>
      <c r="N25" s="136">
        <v>21596159.710000001</v>
      </c>
      <c r="O25" s="136">
        <v>20924342.059999999</v>
      </c>
      <c r="P25" s="136">
        <v>19595774.09</v>
      </c>
      <c r="Q25" s="235">
        <v>22167368.43</v>
      </c>
    </row>
    <row r="26" spans="1:17" x14ac:dyDescent="0.25">
      <c r="A26" s="19"/>
      <c r="B26" s="17"/>
      <c r="C26" s="130" t="s">
        <v>193</v>
      </c>
      <c r="D26" s="42"/>
      <c r="E26" s="29"/>
      <c r="F26" s="29"/>
      <c r="G26" s="29"/>
      <c r="H26" s="29"/>
      <c r="I26" s="29"/>
      <c r="J26" s="240"/>
      <c r="K26" s="20"/>
      <c r="L26" s="20"/>
      <c r="M26" s="20"/>
      <c r="N26" s="137"/>
      <c r="O26" s="137"/>
      <c r="P26" s="137"/>
      <c r="Q26" s="20"/>
    </row>
    <row r="27" spans="1:17" x14ac:dyDescent="0.25">
      <c r="A27" s="19"/>
      <c r="B27" s="17"/>
      <c r="C27" s="29" t="s">
        <v>133</v>
      </c>
      <c r="D27" s="42"/>
      <c r="E27" s="29"/>
      <c r="F27" s="29"/>
      <c r="G27" s="29"/>
      <c r="H27" s="29"/>
      <c r="I27" s="29"/>
      <c r="J27" s="240"/>
      <c r="K27" s="15"/>
      <c r="L27" s="15"/>
      <c r="M27" s="15"/>
      <c r="N27" s="136"/>
      <c r="O27" s="137"/>
      <c r="P27" s="137"/>
      <c r="Q27" s="20"/>
    </row>
    <row r="28" spans="1:17" ht="17.100000000000001" customHeight="1" x14ac:dyDescent="0.25">
      <c r="A28" s="16" t="s">
        <v>35</v>
      </c>
      <c r="B28" s="18" t="s">
        <v>134</v>
      </c>
      <c r="C28" s="17"/>
      <c r="D28" s="17"/>
      <c r="E28" s="17"/>
      <c r="F28" s="17"/>
      <c r="G28" s="17"/>
      <c r="H28" s="17"/>
      <c r="I28" s="17"/>
      <c r="J28" s="240" t="s">
        <v>36</v>
      </c>
      <c r="K28" s="15">
        <f>K29+K31+K39+K42+K43+K44</f>
        <v>442558053.76999998</v>
      </c>
      <c r="L28" s="15">
        <f t="shared" ref="L28" si="3">L29+L31+L39+L42+L43+L44</f>
        <v>481470119.61000001</v>
      </c>
      <c r="M28" s="15">
        <f>M29+M31+M39+M42+M43+M44</f>
        <v>529481695.14999998</v>
      </c>
      <c r="N28" s="15">
        <f>N29+N31+N39+N42+N43+N44</f>
        <v>582131328.88999999</v>
      </c>
      <c r="O28" s="136">
        <f>O29+O31+O39+O42+O43+O44</f>
        <v>579947735.32999992</v>
      </c>
      <c r="P28" s="136">
        <f>P29+P31+P39+P42+P43+P44</f>
        <v>1758146082.49</v>
      </c>
      <c r="Q28" s="136">
        <f>Q29+Q31+Q39+Q42+Q43+Q44</f>
        <v>1047341995.8299998</v>
      </c>
    </row>
    <row r="29" spans="1:17" x14ac:dyDescent="0.25">
      <c r="A29" s="19"/>
      <c r="B29" s="17"/>
      <c r="C29" s="18" t="s">
        <v>129</v>
      </c>
      <c r="D29" s="17"/>
      <c r="E29" s="17"/>
      <c r="F29" s="17"/>
      <c r="G29" s="17"/>
      <c r="H29" s="17"/>
      <c r="I29" s="17"/>
      <c r="J29" s="240">
        <v>43</v>
      </c>
      <c r="K29" s="15">
        <v>13931340.73</v>
      </c>
      <c r="L29" s="15">
        <v>26295209.010000002</v>
      </c>
      <c r="M29" s="15">
        <v>27685363.66</v>
      </c>
      <c r="N29" s="136">
        <v>16009264.1</v>
      </c>
      <c r="O29" s="136">
        <v>27522719.539999999</v>
      </c>
      <c r="P29" s="136">
        <v>49864329.289999999</v>
      </c>
      <c r="Q29" s="235">
        <v>44303810.950000003</v>
      </c>
    </row>
    <row r="30" spans="1:17" x14ac:dyDescent="0.25">
      <c r="A30" s="19"/>
      <c r="B30" s="17"/>
      <c r="C30" s="26" t="s">
        <v>135</v>
      </c>
      <c r="D30" s="27"/>
      <c r="E30" s="27"/>
      <c r="F30" s="17"/>
      <c r="G30" s="17"/>
      <c r="H30" s="17"/>
      <c r="I30" s="17"/>
      <c r="J30" s="240"/>
      <c r="K30" s="15"/>
      <c r="L30" s="15"/>
      <c r="M30" s="15"/>
      <c r="N30" s="136"/>
      <c r="O30" s="137"/>
      <c r="P30" s="136"/>
      <c r="Q30" s="20"/>
    </row>
    <row r="31" spans="1:17" s="37" customFormat="1" x14ac:dyDescent="0.25">
      <c r="A31" s="57"/>
      <c r="B31" s="58"/>
      <c r="C31" s="126" t="s">
        <v>136</v>
      </c>
      <c r="D31" s="64"/>
      <c r="E31" s="69"/>
      <c r="F31" s="70"/>
      <c r="G31" s="70"/>
      <c r="H31" s="70"/>
      <c r="I31" s="70"/>
      <c r="J31" s="240">
        <v>44</v>
      </c>
      <c r="K31" s="15">
        <f t="shared" ref="K31:Q31" si="4">SUM(K32:K38)</f>
        <v>74452663.140000001</v>
      </c>
      <c r="L31" s="15">
        <f t="shared" si="4"/>
        <v>81632933.700000003</v>
      </c>
      <c r="M31" s="15">
        <f t="shared" si="4"/>
        <v>87402757.260000005</v>
      </c>
      <c r="N31" s="15">
        <f t="shared" si="4"/>
        <v>91827991.169999987</v>
      </c>
      <c r="O31" s="15">
        <f t="shared" si="4"/>
        <v>99212887.400000006</v>
      </c>
      <c r="P31" s="15">
        <f t="shared" si="4"/>
        <v>1119151351.28</v>
      </c>
      <c r="Q31" s="15">
        <f>SUM(Q32:Q38)</f>
        <v>382700852.15999991</v>
      </c>
    </row>
    <row r="32" spans="1:17" s="37" customFormat="1" x14ac:dyDescent="0.25">
      <c r="A32" s="57"/>
      <c r="B32" s="58"/>
      <c r="C32" s="59"/>
      <c r="D32" s="71" t="s">
        <v>137</v>
      </c>
      <c r="E32" s="72"/>
      <c r="F32" s="70"/>
      <c r="G32" s="70"/>
      <c r="H32" s="70"/>
      <c r="I32" s="70"/>
      <c r="J32" s="240" t="s">
        <v>37</v>
      </c>
      <c r="K32" s="60">
        <v>53558582.289999999</v>
      </c>
      <c r="L32" s="60">
        <v>59940562.789999999</v>
      </c>
      <c r="M32" s="60">
        <v>65477487.350000001</v>
      </c>
      <c r="N32" s="60">
        <v>70104027.719999999</v>
      </c>
      <c r="O32" s="60">
        <v>76142824.439999998</v>
      </c>
      <c r="P32" s="60">
        <v>1100476644.6099999</v>
      </c>
      <c r="Q32" s="60">
        <v>348435440.51999998</v>
      </c>
    </row>
    <row r="33" spans="1:17" s="37" customFormat="1" x14ac:dyDescent="0.25">
      <c r="A33" s="57"/>
      <c r="B33" s="58"/>
      <c r="C33" s="59"/>
      <c r="D33" s="71" t="s">
        <v>194</v>
      </c>
      <c r="E33" s="72"/>
      <c r="F33" s="70"/>
      <c r="G33" s="70"/>
      <c r="H33" s="70"/>
      <c r="I33" s="70"/>
      <c r="J33" s="240"/>
      <c r="K33" s="60"/>
      <c r="L33" s="60"/>
      <c r="M33" s="60"/>
      <c r="N33" s="60"/>
      <c r="O33" s="60"/>
      <c r="P33" s="156"/>
      <c r="Q33" s="156"/>
    </row>
    <row r="34" spans="1:17" s="37" customFormat="1" x14ac:dyDescent="0.25">
      <c r="A34" s="57"/>
      <c r="B34" s="58"/>
      <c r="C34" s="59"/>
      <c r="D34" s="71" t="s">
        <v>138</v>
      </c>
      <c r="E34" s="72"/>
      <c r="F34" s="70"/>
      <c r="G34" s="70"/>
      <c r="H34" s="70"/>
      <c r="I34" s="70"/>
      <c r="J34" s="240">
        <v>446</v>
      </c>
      <c r="K34" s="60">
        <v>195374.09</v>
      </c>
      <c r="L34" s="60">
        <v>284675.36</v>
      </c>
      <c r="M34" s="60">
        <v>304614.5</v>
      </c>
      <c r="N34" s="60">
        <v>234328.32000000001</v>
      </c>
      <c r="O34" s="60">
        <v>284149.40999999997</v>
      </c>
      <c r="P34" s="60">
        <v>104999.39</v>
      </c>
      <c r="Q34" s="60">
        <v>93831.28</v>
      </c>
    </row>
    <row r="35" spans="1:17" s="37" customFormat="1" x14ac:dyDescent="0.25">
      <c r="A35" s="57"/>
      <c r="B35" s="58"/>
      <c r="C35" s="59"/>
      <c r="D35" s="59" t="s">
        <v>139</v>
      </c>
      <c r="E35" s="58"/>
      <c r="F35" s="58"/>
      <c r="G35" s="58"/>
      <c r="H35" s="58"/>
      <c r="I35" s="58"/>
      <c r="J35" s="240">
        <v>447</v>
      </c>
      <c r="K35" s="60">
        <v>3115747.53</v>
      </c>
      <c r="L35" s="60">
        <v>3648985.31</v>
      </c>
      <c r="M35" s="60">
        <v>3508585.08</v>
      </c>
      <c r="N35" s="60">
        <v>4265685.3899999997</v>
      </c>
      <c r="O35" s="60">
        <v>4285168.4000000004</v>
      </c>
      <c r="P35" s="60">
        <v>763192.23</v>
      </c>
      <c r="Q35" s="60">
        <v>1393222.88</v>
      </c>
    </row>
    <row r="36" spans="1:17" s="37" customFormat="1" x14ac:dyDescent="0.25">
      <c r="A36" s="57"/>
      <c r="B36" s="58"/>
      <c r="C36" s="59"/>
      <c r="D36" s="59" t="s">
        <v>191</v>
      </c>
      <c r="E36" s="58"/>
      <c r="F36" s="58"/>
      <c r="G36" s="58"/>
      <c r="H36" s="58"/>
      <c r="I36" s="58"/>
      <c r="J36" s="240">
        <v>4480</v>
      </c>
      <c r="K36" s="60">
        <v>16202181.48</v>
      </c>
      <c r="L36" s="60">
        <v>16584047.039999999</v>
      </c>
      <c r="M36" s="60">
        <v>16683279.380000001</v>
      </c>
      <c r="N36" s="60">
        <v>15685574.300000001</v>
      </c>
      <c r="O36" s="60">
        <v>16113630.640000001</v>
      </c>
      <c r="P36" s="60">
        <v>15988990.74</v>
      </c>
      <c r="Q36" s="60">
        <v>16991951.649999999</v>
      </c>
    </row>
    <row r="37" spans="1:17" s="37" customFormat="1" x14ac:dyDescent="0.25">
      <c r="A37" s="57"/>
      <c r="B37" s="58"/>
      <c r="C37" s="58"/>
      <c r="D37" s="59" t="s">
        <v>140</v>
      </c>
      <c r="E37" s="58"/>
      <c r="F37" s="58"/>
      <c r="G37" s="58"/>
      <c r="H37" s="58"/>
      <c r="I37" s="58"/>
      <c r="J37" s="240">
        <v>4481</v>
      </c>
      <c r="K37" s="60">
        <v>0</v>
      </c>
      <c r="L37" s="60">
        <v>0</v>
      </c>
      <c r="M37" s="60">
        <v>0</v>
      </c>
      <c r="N37" s="60">
        <v>0</v>
      </c>
      <c r="O37" s="155">
        <v>0</v>
      </c>
      <c r="P37" s="155">
        <v>0</v>
      </c>
      <c r="Q37" s="155">
        <v>0</v>
      </c>
    </row>
    <row r="38" spans="1:17" x14ac:dyDescent="0.25">
      <c r="A38" s="19"/>
      <c r="B38" s="17"/>
      <c r="C38" s="18"/>
      <c r="D38" s="58" t="s">
        <v>141</v>
      </c>
      <c r="E38" s="17"/>
      <c r="F38" s="17"/>
      <c r="G38" s="17"/>
      <c r="H38" s="17"/>
      <c r="I38" s="17"/>
      <c r="J38" s="240">
        <v>449</v>
      </c>
      <c r="K38" s="60">
        <v>1380777.75</v>
      </c>
      <c r="L38" s="60">
        <v>1174663.2</v>
      </c>
      <c r="M38" s="60">
        <v>1428790.95</v>
      </c>
      <c r="N38" s="60">
        <v>1538375.44</v>
      </c>
      <c r="O38" s="60">
        <v>2387114.5099999998</v>
      </c>
      <c r="P38" s="60">
        <v>1817524.31</v>
      </c>
      <c r="Q38" s="60">
        <v>15786405.83</v>
      </c>
    </row>
    <row r="39" spans="1:17" x14ac:dyDescent="0.25">
      <c r="A39" s="19"/>
      <c r="B39" s="17"/>
      <c r="C39" s="18" t="s">
        <v>142</v>
      </c>
      <c r="D39" s="17"/>
      <c r="E39" s="17"/>
      <c r="F39" s="17"/>
      <c r="G39" s="17"/>
      <c r="H39" s="17"/>
      <c r="I39" s="17"/>
      <c r="J39" s="240">
        <v>45</v>
      </c>
      <c r="K39" s="15">
        <f>SUM(K40:K41)</f>
        <v>93242290.129999995</v>
      </c>
      <c r="L39" s="15">
        <f>SUM(L40:L41)</f>
        <v>95027484.879999995</v>
      </c>
      <c r="M39" s="15">
        <f>SUM(M40:M41)</f>
        <v>96632446.150000006</v>
      </c>
      <c r="N39" s="136">
        <f>SUM(N40:N41)</f>
        <v>98252571.220000014</v>
      </c>
      <c r="O39" s="136">
        <f>SUM(O40:O41)</f>
        <v>102107635.78</v>
      </c>
      <c r="P39" s="136">
        <f t="shared" ref="P39:Q39" si="5">SUM(P40:P41)</f>
        <v>140436459.66</v>
      </c>
      <c r="Q39" s="136">
        <f t="shared" si="5"/>
        <v>145932975.86999997</v>
      </c>
    </row>
    <row r="40" spans="1:17" s="37" customFormat="1" x14ac:dyDescent="0.25">
      <c r="A40" s="57"/>
      <c r="B40" s="58"/>
      <c r="C40" s="58"/>
      <c r="D40" s="59" t="s">
        <v>143</v>
      </c>
      <c r="E40" s="58"/>
      <c r="F40" s="58"/>
      <c r="G40" s="58"/>
      <c r="H40" s="58"/>
      <c r="I40" s="58"/>
      <c r="J40" s="240" t="s">
        <v>38</v>
      </c>
      <c r="K40" s="60">
        <v>236684.94</v>
      </c>
      <c r="L40" s="60">
        <v>338789.92</v>
      </c>
      <c r="M40" s="60">
        <v>492890</v>
      </c>
      <c r="N40" s="60">
        <v>521570.68</v>
      </c>
      <c r="O40" s="60">
        <v>589685.68999999994</v>
      </c>
      <c r="P40" s="60">
        <v>433718.96</v>
      </c>
      <c r="Q40" s="60">
        <v>495795.7</v>
      </c>
    </row>
    <row r="41" spans="1:17" s="37" customFormat="1" x14ac:dyDescent="0.25">
      <c r="A41" s="57"/>
      <c r="B41" s="58"/>
      <c r="C41" s="58"/>
      <c r="D41" s="59" t="s">
        <v>144</v>
      </c>
      <c r="E41" s="58"/>
      <c r="F41" s="58"/>
      <c r="G41" s="58"/>
      <c r="H41" s="58"/>
      <c r="I41" s="58"/>
      <c r="J41" s="240" t="s">
        <v>39</v>
      </c>
      <c r="K41" s="60">
        <v>93005605.189999998</v>
      </c>
      <c r="L41" s="60">
        <v>94688694.959999993</v>
      </c>
      <c r="M41" s="60">
        <v>96139556.150000006</v>
      </c>
      <c r="N41" s="60">
        <v>97731000.540000007</v>
      </c>
      <c r="O41" s="60">
        <v>101517950.09</v>
      </c>
      <c r="P41" s="60">
        <v>140002740.69999999</v>
      </c>
      <c r="Q41" s="235">
        <v>145437180.16999999</v>
      </c>
    </row>
    <row r="42" spans="1:17" x14ac:dyDescent="0.25">
      <c r="A42" s="19"/>
      <c r="B42" s="17"/>
      <c r="C42" s="126" t="s">
        <v>190</v>
      </c>
      <c r="D42" s="43"/>
      <c r="E42" s="17"/>
      <c r="F42" s="17"/>
      <c r="G42" s="17"/>
      <c r="H42" s="17"/>
      <c r="I42" s="17"/>
      <c r="J42" s="240">
        <v>470</v>
      </c>
      <c r="K42" s="15">
        <v>8142564.7300000004</v>
      </c>
      <c r="L42" s="15">
        <v>4995483.88</v>
      </c>
      <c r="M42" s="15">
        <v>7591298.1900000004</v>
      </c>
      <c r="N42" s="136">
        <v>9334801.6400000006</v>
      </c>
      <c r="O42" s="136">
        <v>7431554.5</v>
      </c>
      <c r="P42" s="136">
        <v>16404877.640000001</v>
      </c>
      <c r="Q42" s="235">
        <v>14473514.41</v>
      </c>
    </row>
    <row r="43" spans="1:17" x14ac:dyDescent="0.25">
      <c r="A43" s="19"/>
      <c r="B43" s="17"/>
      <c r="C43" s="18" t="s">
        <v>145</v>
      </c>
      <c r="D43" s="17"/>
      <c r="E43" s="17"/>
      <c r="F43" s="17"/>
      <c r="G43" s="17"/>
      <c r="H43" s="17"/>
      <c r="I43" s="17"/>
      <c r="J43" s="240" t="s">
        <v>40</v>
      </c>
      <c r="K43" s="15">
        <v>160524205.03</v>
      </c>
      <c r="L43" s="15">
        <v>158393289.63999999</v>
      </c>
      <c r="M43" s="15">
        <v>171791050.77000001</v>
      </c>
      <c r="N43" s="136">
        <v>193839057.50999999</v>
      </c>
      <c r="O43" s="136">
        <v>226532569.22999999</v>
      </c>
      <c r="P43" s="136">
        <v>205176550.84999999</v>
      </c>
      <c r="Q43" s="235">
        <v>205471764.56</v>
      </c>
    </row>
    <row r="44" spans="1:17" x14ac:dyDescent="0.25">
      <c r="A44" s="19"/>
      <c r="B44" s="17"/>
      <c r="C44" s="18" t="s">
        <v>146</v>
      </c>
      <c r="D44" s="17"/>
      <c r="E44" s="17"/>
      <c r="F44" s="17"/>
      <c r="G44" s="17"/>
      <c r="H44" s="17"/>
      <c r="I44" s="17"/>
      <c r="J44" s="240">
        <v>48</v>
      </c>
      <c r="K44" s="15">
        <v>92264990.010000005</v>
      </c>
      <c r="L44" s="15">
        <v>115125718.5</v>
      </c>
      <c r="M44" s="15">
        <v>138378779.12</v>
      </c>
      <c r="N44" s="136">
        <v>172867643.25</v>
      </c>
      <c r="O44" s="136">
        <v>117140368.88</v>
      </c>
      <c r="P44" s="136">
        <v>227112513.77000001</v>
      </c>
      <c r="Q44" s="235">
        <v>254459077.88</v>
      </c>
    </row>
    <row r="45" spans="1:17" ht="17.100000000000001" customHeight="1" x14ac:dyDescent="0.25">
      <c r="A45" s="16" t="s">
        <v>13</v>
      </c>
      <c r="B45" s="18" t="s">
        <v>118</v>
      </c>
      <c r="C45" s="17"/>
      <c r="D45" s="17"/>
      <c r="E45" s="17"/>
      <c r="F45" s="17"/>
      <c r="G45" s="17"/>
      <c r="H45" s="17"/>
      <c r="I45" s="17"/>
      <c r="J45" s="240" t="s">
        <v>41</v>
      </c>
      <c r="K45" s="15">
        <v>60562976.509999998</v>
      </c>
      <c r="L45" s="15">
        <v>58032892.219999999</v>
      </c>
      <c r="M45" s="15">
        <v>82011019.799999997</v>
      </c>
      <c r="N45" s="136">
        <v>100476035.73</v>
      </c>
      <c r="O45" s="136">
        <v>105641573.58</v>
      </c>
      <c r="P45" s="136">
        <v>97352474.269999996</v>
      </c>
      <c r="Q45" s="136">
        <v>128152959.47</v>
      </c>
    </row>
    <row r="46" spans="1:17" ht="6" customHeight="1" x14ac:dyDescent="0.25">
      <c r="A46" s="44"/>
      <c r="B46" s="45"/>
      <c r="C46" s="9"/>
      <c r="D46" s="9"/>
      <c r="E46" s="9"/>
      <c r="F46" s="9"/>
      <c r="G46" s="9"/>
      <c r="H46" s="9"/>
      <c r="I46" s="9"/>
      <c r="J46" s="241"/>
      <c r="K46" s="30"/>
      <c r="L46" s="30"/>
      <c r="M46" s="30"/>
      <c r="N46" s="138"/>
      <c r="O46" s="138"/>
      <c r="P46" s="138"/>
      <c r="Q46" s="30"/>
    </row>
    <row r="47" spans="1:17" s="48" customFormat="1" ht="18" customHeight="1" x14ac:dyDescent="0.25">
      <c r="A47" s="47" t="s">
        <v>147</v>
      </c>
      <c r="B47" s="40"/>
      <c r="C47" s="23"/>
      <c r="D47" s="23"/>
      <c r="E47" s="23"/>
      <c r="F47" s="23"/>
      <c r="G47" s="23"/>
      <c r="H47" s="23"/>
      <c r="I47" s="23"/>
      <c r="J47" s="24" t="s">
        <v>42</v>
      </c>
      <c r="K47" s="68">
        <f>K7+K17+K20</f>
        <v>2743940292.46</v>
      </c>
      <c r="L47" s="68">
        <f>L7+L17+L20</f>
        <v>2827050926.5199995</v>
      </c>
      <c r="M47" s="68">
        <f>M7+M17+M20</f>
        <v>2864880862.2699995</v>
      </c>
      <c r="N47" s="68">
        <f>N7+N17+N20</f>
        <v>2919454732.8400002</v>
      </c>
      <c r="O47" s="68">
        <f>O7+O17+O20</f>
        <v>2875327820.1599998</v>
      </c>
      <c r="P47" s="68">
        <f t="shared" ref="P47:Q47" si="6">P7+P17+P20</f>
        <v>4001101155.54</v>
      </c>
      <c r="Q47" s="68">
        <f t="shared" si="6"/>
        <v>3426685226.7399998</v>
      </c>
    </row>
    <row r="48" spans="1:17" ht="6.75" customHeight="1" thickBot="1" x14ac:dyDescent="0.3">
      <c r="A48" s="49"/>
      <c r="B48" s="50"/>
      <c r="C48" s="50"/>
      <c r="D48" s="50"/>
      <c r="E48" s="50"/>
      <c r="F48" s="50"/>
      <c r="G48" s="50"/>
      <c r="H48" s="50"/>
      <c r="I48" s="50"/>
      <c r="J48" s="51"/>
      <c r="K48" s="52"/>
      <c r="L48" s="52"/>
      <c r="M48" s="52"/>
      <c r="N48" s="139"/>
      <c r="O48" s="139"/>
      <c r="P48" s="139"/>
      <c r="Q48" s="52"/>
    </row>
    <row r="49" spans="10:15" ht="13.8" thickTop="1" x14ac:dyDescent="0.25">
      <c r="J49" s="53"/>
      <c r="K49" s="54"/>
      <c r="L49" s="54"/>
      <c r="M49" s="54"/>
    </row>
    <row r="50" spans="10:15" ht="16.5" customHeight="1" x14ac:dyDescent="0.25">
      <c r="J50" s="53"/>
      <c r="K50" s="53"/>
      <c r="L50" s="53"/>
    </row>
    <row r="51" spans="10:15" x14ac:dyDescent="0.25">
      <c r="J51" s="53"/>
      <c r="K51" s="53"/>
      <c r="L51" s="53"/>
      <c r="O51" s="53"/>
    </row>
    <row r="52" spans="10:15" x14ac:dyDescent="0.25">
      <c r="O52" s="53"/>
    </row>
    <row r="53" spans="10:15" x14ac:dyDescent="0.25">
      <c r="O53" s="53"/>
    </row>
    <row r="54" spans="10:15" x14ac:dyDescent="0.25">
      <c r="O54" s="53"/>
    </row>
  </sheetData>
  <mergeCells count="1">
    <mergeCell ref="A3:M3"/>
  </mergeCells>
  <pageMargins left="0.19685039370078741" right="0.19685039370078741" top="0.78740157480314965" bottom="0.6692913385826772" header="0.51181102362204722" footer="0.31496062992125984"/>
  <pageSetup paperSize="9" scale="87" orientation="portrait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"/>
  <sheetViews>
    <sheetView showGridLines="0" topLeftCell="A69" zoomScale="110" zoomScaleNormal="110" zoomScaleSheetLayoutView="200" workbookViewId="0">
      <selection activeCell="J90" sqref="J90"/>
    </sheetView>
  </sheetViews>
  <sheetFormatPr defaultColWidth="12" defaultRowHeight="10.199999999999999" x14ac:dyDescent="0.2"/>
  <cols>
    <col min="1" max="1" width="5.33203125" style="187" customWidth="1"/>
    <col min="2" max="2" width="4.77734375" style="73" customWidth="1"/>
    <col min="3" max="3" width="41.77734375" style="73" customWidth="1"/>
    <col min="4" max="4" width="3.6640625" style="167" customWidth="1"/>
    <col min="5" max="5" width="9" style="167" customWidth="1"/>
    <col min="6" max="11" width="16.77734375" style="73" customWidth="1"/>
    <col min="12" max="12" width="16.77734375" style="260" customWidth="1"/>
    <col min="13" max="13" width="2.77734375" style="73" customWidth="1"/>
    <col min="14" max="16384" width="12" style="73"/>
  </cols>
  <sheetData>
    <row r="1" spans="1:12" ht="17.399999999999999" x14ac:dyDescent="0.3">
      <c r="A1" s="186" t="s">
        <v>81</v>
      </c>
    </row>
    <row r="3" spans="1:12" ht="15.75" customHeight="1" x14ac:dyDescent="0.25">
      <c r="A3" s="280" t="s">
        <v>148</v>
      </c>
      <c r="B3" s="280"/>
      <c r="C3" s="280"/>
      <c r="D3" s="280"/>
      <c r="E3" s="280"/>
      <c r="F3" s="280"/>
      <c r="G3" s="280"/>
      <c r="H3" s="280"/>
    </row>
    <row r="4" spans="1:12" ht="24.9" customHeight="1" x14ac:dyDescent="0.2"/>
    <row r="5" spans="1:12" s="75" customFormat="1" ht="20.100000000000001" customHeight="1" x14ac:dyDescent="0.2">
      <c r="A5" s="188" t="s">
        <v>149</v>
      </c>
      <c r="B5" s="74"/>
      <c r="C5" s="74"/>
      <c r="D5" s="168"/>
      <c r="E5" s="242" t="s">
        <v>0</v>
      </c>
      <c r="F5" s="226" t="s">
        <v>43</v>
      </c>
      <c r="G5" s="227" t="s">
        <v>44</v>
      </c>
      <c r="H5" s="227" t="s">
        <v>45</v>
      </c>
      <c r="I5" s="227" t="s">
        <v>207</v>
      </c>
      <c r="J5" s="227" t="s">
        <v>219</v>
      </c>
      <c r="K5" s="237" t="s">
        <v>253</v>
      </c>
      <c r="L5" s="237" t="s">
        <v>257</v>
      </c>
    </row>
    <row r="6" spans="1:12" s="79" customFormat="1" ht="6" customHeight="1" x14ac:dyDescent="0.2">
      <c r="A6" s="189"/>
      <c r="B6" s="76"/>
      <c r="C6" s="76"/>
      <c r="D6" s="169"/>
      <c r="E6" s="243"/>
      <c r="F6" s="77"/>
      <c r="G6" s="77"/>
      <c r="H6" s="78"/>
      <c r="I6" s="78"/>
      <c r="J6" s="78"/>
      <c r="K6" s="229"/>
      <c r="L6" s="261"/>
    </row>
    <row r="7" spans="1:12" s="84" customFormat="1" ht="12" customHeight="1" x14ac:dyDescent="0.2">
      <c r="A7" s="190" t="s">
        <v>1</v>
      </c>
      <c r="B7" s="129" t="s">
        <v>178</v>
      </c>
      <c r="C7" s="81"/>
      <c r="D7" s="82"/>
      <c r="E7" s="81"/>
      <c r="F7" s="83">
        <f>SUM(F8:F9)</f>
        <v>684506503.99000001</v>
      </c>
      <c r="G7" s="83">
        <f t="shared" ref="G7:H7" si="0">SUM(G8:G9)</f>
        <v>793592700.17999995</v>
      </c>
      <c r="H7" s="83">
        <f t="shared" si="0"/>
        <v>811032832.91999996</v>
      </c>
      <c r="I7" s="83">
        <v>846978063.04999995</v>
      </c>
      <c r="J7" s="83">
        <f>SUM(J8:J9)</f>
        <v>881995603.85000002</v>
      </c>
      <c r="K7" s="83">
        <f>SUM(K8:K9)</f>
        <v>936257960.44999993</v>
      </c>
      <c r="L7" s="83">
        <f>SUM(L8:L9)</f>
        <v>982946777.71000004</v>
      </c>
    </row>
    <row r="8" spans="1:12" s="84" customFormat="1" ht="12" customHeight="1" x14ac:dyDescent="0.2">
      <c r="A8" s="191" t="s">
        <v>46</v>
      </c>
      <c r="B8" s="80" t="s">
        <v>179</v>
      </c>
      <c r="C8" s="85"/>
      <c r="D8" s="82" t="s">
        <v>47</v>
      </c>
      <c r="E8" s="244">
        <v>7000</v>
      </c>
      <c r="F8" s="87">
        <v>695732930.75999999</v>
      </c>
      <c r="G8" s="87">
        <v>810026783.13999999</v>
      </c>
      <c r="H8" s="87">
        <v>826060880.11000001</v>
      </c>
      <c r="I8" s="87">
        <f>859791056.35</f>
        <v>859791056.35000002</v>
      </c>
      <c r="J8" s="87">
        <v>906341911.65999997</v>
      </c>
      <c r="K8" s="87">
        <v>956773342.03999996</v>
      </c>
      <c r="L8" s="262">
        <v>1000913105.48</v>
      </c>
    </row>
    <row r="9" spans="1:12" s="84" customFormat="1" ht="12" customHeight="1" x14ac:dyDescent="0.2">
      <c r="A9" s="191" t="s">
        <v>48</v>
      </c>
      <c r="B9" s="80" t="s">
        <v>155</v>
      </c>
      <c r="C9" s="85"/>
      <c r="D9" s="86" t="s">
        <v>49</v>
      </c>
      <c r="E9" s="244">
        <v>7009</v>
      </c>
      <c r="F9" s="87">
        <v>-11226426.77</v>
      </c>
      <c r="G9" s="87">
        <v>-16434082.960000001</v>
      </c>
      <c r="H9" s="87">
        <v>-15028047.189999999</v>
      </c>
      <c r="I9" s="87">
        <v>-12812993.300000001</v>
      </c>
      <c r="J9" s="87">
        <v>-24346307.809999999</v>
      </c>
      <c r="K9" s="87">
        <v>-20515381.59</v>
      </c>
      <c r="L9" s="262">
        <v>-17966327.77</v>
      </c>
    </row>
    <row r="10" spans="1:12" s="84" customFormat="1" ht="12" customHeight="1" x14ac:dyDescent="0.2">
      <c r="A10" s="192" t="s">
        <v>2</v>
      </c>
      <c r="B10" s="80" t="s">
        <v>177</v>
      </c>
      <c r="C10" s="85"/>
      <c r="D10" s="82" t="s">
        <v>47</v>
      </c>
      <c r="E10" s="245">
        <v>701</v>
      </c>
      <c r="F10" s="87">
        <v>237957919.53999999</v>
      </c>
      <c r="G10" s="87">
        <v>153434454.83000001</v>
      </c>
      <c r="H10" s="87">
        <v>169455027.00999999</v>
      </c>
      <c r="I10" s="87">
        <v>317627692.48000002</v>
      </c>
      <c r="J10" s="87">
        <v>575150448.08000004</v>
      </c>
      <c r="K10" s="87">
        <v>2335584778.3499999</v>
      </c>
      <c r="L10" s="262">
        <v>2588637615.3699999</v>
      </c>
    </row>
    <row r="11" spans="1:12" s="84" customFormat="1" x14ac:dyDescent="0.2">
      <c r="A11" s="192" t="s">
        <v>3</v>
      </c>
      <c r="B11" s="80" t="s">
        <v>150</v>
      </c>
      <c r="C11" s="85"/>
      <c r="D11" s="167"/>
      <c r="E11" s="81"/>
      <c r="F11" s="87">
        <f>SUM(F12:F14)</f>
        <v>-850974564.04000008</v>
      </c>
      <c r="G11" s="87">
        <f t="shared" ref="G11:I11" si="1">SUM(G12:G14)</f>
        <v>-888102541.90999997</v>
      </c>
      <c r="H11" s="87">
        <f t="shared" si="1"/>
        <v>-944151037.39999998</v>
      </c>
      <c r="I11" s="87">
        <f t="shared" si="1"/>
        <v>-1120469923.45</v>
      </c>
      <c r="J11" s="87">
        <f>SUM(J12:J14)</f>
        <v>-1415736750.1099999</v>
      </c>
      <c r="K11" s="87">
        <f>SUM(K12:K14)</f>
        <v>-3173840880.52</v>
      </c>
      <c r="L11" s="87">
        <f>SUM(L12:L14)</f>
        <v>-3356971192.46</v>
      </c>
    </row>
    <row r="12" spans="1:12" s="84" customFormat="1" x14ac:dyDescent="0.2">
      <c r="A12" s="191" t="s">
        <v>46</v>
      </c>
      <c r="B12" s="80" t="s">
        <v>156</v>
      </c>
      <c r="C12" s="85"/>
      <c r="D12" s="82" t="s">
        <v>27</v>
      </c>
      <c r="E12" s="81">
        <v>600</v>
      </c>
      <c r="F12" s="87">
        <v>-731582110.46000004</v>
      </c>
      <c r="G12" s="87">
        <v>-769745020.76999998</v>
      </c>
      <c r="H12" s="87">
        <v>-823328193.30999994</v>
      </c>
      <c r="I12" s="87">
        <v>-994089236.38</v>
      </c>
      <c r="J12" s="87">
        <v>-1270595889.8099999</v>
      </c>
      <c r="K12" s="87">
        <v>-3011285956.6599998</v>
      </c>
      <c r="L12" s="263">
        <v>-3192575132.8699999</v>
      </c>
    </row>
    <row r="13" spans="1:12" s="84" customFormat="1" x14ac:dyDescent="0.2">
      <c r="A13" s="191" t="s">
        <v>48</v>
      </c>
      <c r="B13" s="80" t="s">
        <v>196</v>
      </c>
      <c r="C13" s="85"/>
      <c r="D13" s="82"/>
      <c r="E13" s="245"/>
      <c r="F13" s="88"/>
      <c r="G13" s="88"/>
      <c r="H13" s="88"/>
      <c r="I13" s="88"/>
      <c r="J13" s="88"/>
      <c r="K13" s="88"/>
      <c r="L13" s="87"/>
    </row>
    <row r="14" spans="1:12" s="84" customFormat="1" x14ac:dyDescent="0.2">
      <c r="A14" s="192"/>
      <c r="B14" s="80" t="s">
        <v>197</v>
      </c>
      <c r="C14" s="85"/>
      <c r="D14" s="82" t="s">
        <v>27</v>
      </c>
      <c r="E14" s="245">
        <v>601</v>
      </c>
      <c r="F14" s="87">
        <v>-119392453.58</v>
      </c>
      <c r="G14" s="87">
        <v>-118357521.14</v>
      </c>
      <c r="H14" s="87">
        <v>-120822844.09</v>
      </c>
      <c r="I14" s="87">
        <v>-126380687.06999999</v>
      </c>
      <c r="J14" s="87">
        <v>-145140860.30000001</v>
      </c>
      <c r="K14" s="87">
        <v>-162554923.86000001</v>
      </c>
      <c r="L14" s="263">
        <v>-164396059.59</v>
      </c>
    </row>
    <row r="15" spans="1:12" s="84" customFormat="1" ht="12" customHeight="1" x14ac:dyDescent="0.2">
      <c r="A15" s="192" t="s">
        <v>50</v>
      </c>
      <c r="B15" s="89" t="s">
        <v>151</v>
      </c>
      <c r="C15" s="86"/>
      <c r="D15" s="86" t="s">
        <v>49</v>
      </c>
      <c r="E15" s="244" t="s">
        <v>51</v>
      </c>
      <c r="F15" s="87">
        <v>20738974.82</v>
      </c>
      <c r="G15" s="87">
        <v>20724934.809999999</v>
      </c>
      <c r="H15" s="87">
        <v>11805454.050000001</v>
      </c>
      <c r="I15" s="87">
        <v>24288521.309999999</v>
      </c>
      <c r="J15" s="87">
        <v>17271561.41</v>
      </c>
      <c r="K15" s="87">
        <v>17220314.93</v>
      </c>
      <c r="L15" s="259">
        <v>15890398.029999999</v>
      </c>
    </row>
    <row r="16" spans="1:12" s="84" customFormat="1" ht="12" customHeight="1" x14ac:dyDescent="0.2">
      <c r="A16" s="192" t="s">
        <v>52</v>
      </c>
      <c r="B16" s="89" t="s">
        <v>152</v>
      </c>
      <c r="C16" s="89"/>
      <c r="D16" s="82" t="s">
        <v>47</v>
      </c>
      <c r="E16" s="81" t="s">
        <v>53</v>
      </c>
      <c r="F16" s="87">
        <v>11377081.76</v>
      </c>
      <c r="G16" s="87">
        <v>11475360.060000001</v>
      </c>
      <c r="H16" s="87">
        <v>11908503.67</v>
      </c>
      <c r="I16" s="87">
        <v>13733905.82</v>
      </c>
      <c r="J16" s="87">
        <v>14735222.689999999</v>
      </c>
      <c r="K16" s="87">
        <v>6852657.2800000003</v>
      </c>
      <c r="L16" s="87">
        <v>7805761.4699999997</v>
      </c>
    </row>
    <row r="17" spans="1:12" s="84" customFormat="1" ht="12" customHeight="1" x14ac:dyDescent="0.2">
      <c r="A17" s="192" t="s">
        <v>54</v>
      </c>
      <c r="B17" s="89" t="s">
        <v>153</v>
      </c>
      <c r="C17" s="89"/>
      <c r="D17" s="82" t="s">
        <v>27</v>
      </c>
      <c r="E17" s="81" t="s">
        <v>55</v>
      </c>
      <c r="F17" s="87">
        <v>-18346051.890000001</v>
      </c>
      <c r="G17" s="87">
        <v>-21258882.850000001</v>
      </c>
      <c r="H17" s="87">
        <v>-26268135</v>
      </c>
      <c r="I17" s="87">
        <v>-23397352.48</v>
      </c>
      <c r="J17" s="87">
        <v>-19852839.579999998</v>
      </c>
      <c r="K17" s="87">
        <v>-15778800.710000001</v>
      </c>
      <c r="L17" s="87">
        <v>-14278919.92</v>
      </c>
    </row>
    <row r="18" spans="1:12" s="79" customFormat="1" ht="3.9" customHeight="1" x14ac:dyDescent="0.2">
      <c r="A18" s="193"/>
      <c r="B18" s="61"/>
      <c r="C18" s="61"/>
      <c r="D18" s="82"/>
      <c r="E18" s="245"/>
      <c r="F18" s="102"/>
      <c r="G18" s="102"/>
      <c r="H18" s="102"/>
      <c r="I18" s="102"/>
      <c r="J18" s="102"/>
      <c r="K18" s="102"/>
      <c r="L18" s="87"/>
    </row>
    <row r="19" spans="1:12" s="79" customFormat="1" ht="12" customHeight="1" x14ac:dyDescent="0.2">
      <c r="A19" s="194"/>
      <c r="B19" s="91" t="s">
        <v>154</v>
      </c>
      <c r="C19" s="92"/>
      <c r="D19" s="170" t="s">
        <v>56</v>
      </c>
      <c r="E19" s="246" t="s">
        <v>57</v>
      </c>
      <c r="F19" s="117">
        <f>F7+F10+F11+F15+F16+F17</f>
        <v>85259864.179999888</v>
      </c>
      <c r="G19" s="117">
        <f t="shared" ref="G19:H19" si="2">G7+G10+G11+G15+G16+G17</f>
        <v>69866025.120000035</v>
      </c>
      <c r="H19" s="117">
        <f t="shared" si="2"/>
        <v>33782645.24999997</v>
      </c>
      <c r="I19" s="117">
        <f>I7+I10+I11+I15+I16+I17</f>
        <v>58760906.729999915</v>
      </c>
      <c r="J19" s="117">
        <f t="shared" ref="J19" si="3">J7+J10+J11+J15+J16+J17</f>
        <v>53563246.340000167</v>
      </c>
      <c r="K19" s="117">
        <f>K7+K10+K11+K15+K16+K17</f>
        <v>106296029.77999973</v>
      </c>
      <c r="L19" s="264">
        <f>L7+L10+L11+L15+L16+L17</f>
        <v>224030440.1999999</v>
      </c>
    </row>
    <row r="20" spans="1:12" s="79" customFormat="1" ht="3.9" customHeight="1" thickBot="1" x14ac:dyDescent="0.25">
      <c r="A20" s="195"/>
      <c r="B20" s="93"/>
      <c r="C20" s="93"/>
      <c r="D20" s="171"/>
      <c r="E20" s="247"/>
      <c r="F20" s="118"/>
      <c r="G20" s="118"/>
      <c r="H20" s="118"/>
      <c r="I20" s="118"/>
      <c r="J20" s="118"/>
      <c r="K20" s="118"/>
      <c r="L20" s="265"/>
    </row>
    <row r="21" spans="1:12" s="79" customFormat="1" ht="15.9" customHeight="1" thickTop="1" x14ac:dyDescent="0.2">
      <c r="A21" s="187"/>
      <c r="B21" s="73"/>
      <c r="C21" s="73"/>
      <c r="D21" s="167"/>
      <c r="E21" s="167"/>
      <c r="F21" s="73"/>
      <c r="G21" s="73"/>
      <c r="H21" s="73"/>
      <c r="I21" s="73"/>
      <c r="J21" s="73"/>
      <c r="K21" s="73"/>
      <c r="L21" s="266"/>
    </row>
    <row r="22" spans="1:12" ht="12" customHeight="1" x14ac:dyDescent="0.2">
      <c r="A22" s="188" t="s">
        <v>157</v>
      </c>
      <c r="B22" s="95"/>
      <c r="C22" s="95"/>
      <c r="D22" s="172"/>
      <c r="E22" s="172"/>
      <c r="F22" s="95"/>
      <c r="G22" s="95"/>
      <c r="H22" s="95"/>
      <c r="I22" s="95"/>
      <c r="J22" s="122"/>
      <c r="K22" s="228"/>
      <c r="L22" s="83"/>
    </row>
    <row r="23" spans="1:12" ht="3" customHeight="1" x14ac:dyDescent="0.2">
      <c r="A23" s="193"/>
      <c r="B23" s="96"/>
      <c r="C23" s="96"/>
      <c r="D23" s="173"/>
      <c r="E23" s="173"/>
      <c r="F23" s="96"/>
      <c r="G23" s="96"/>
      <c r="H23" s="96"/>
      <c r="I23" s="96"/>
      <c r="J23" s="123"/>
      <c r="K23" s="229"/>
      <c r="L23" s="267"/>
    </row>
    <row r="24" spans="1:12" s="84" customFormat="1" ht="12" customHeight="1" x14ac:dyDescent="0.2">
      <c r="A24" s="192" t="s">
        <v>58</v>
      </c>
      <c r="B24" s="89" t="s">
        <v>180</v>
      </c>
      <c r="C24" s="89"/>
      <c r="D24" s="82"/>
      <c r="E24" s="81"/>
      <c r="F24" s="87">
        <f>SUM(F25:F26)</f>
        <v>44399346.520000003</v>
      </c>
      <c r="G24" s="87">
        <f t="shared" ref="G24:I24" si="4">SUM(G25:G26)</f>
        <v>47879975.029999994</v>
      </c>
      <c r="H24" s="87">
        <f t="shared" si="4"/>
        <v>54952783.490000002</v>
      </c>
      <c r="I24" s="87">
        <f t="shared" si="4"/>
        <v>53241268.060000002</v>
      </c>
      <c r="J24" s="87">
        <f t="shared" ref="J24" si="5">SUM(J25:J26)</f>
        <v>52991761.760000005</v>
      </c>
      <c r="K24" s="87">
        <f t="shared" ref="K24:L24" si="6">SUM(K25:K26)</f>
        <v>51134871.350000001</v>
      </c>
      <c r="L24" s="83">
        <f t="shared" si="6"/>
        <v>51283896.740000002</v>
      </c>
    </row>
    <row r="25" spans="1:12" s="84" customFormat="1" ht="12" customHeight="1" x14ac:dyDescent="0.2">
      <c r="A25" s="191" t="s">
        <v>46</v>
      </c>
      <c r="B25" s="80" t="s">
        <v>179</v>
      </c>
      <c r="C25" s="85"/>
      <c r="D25" s="82" t="s">
        <v>47</v>
      </c>
      <c r="E25" s="81"/>
      <c r="F25" s="87">
        <v>45977647.850000001</v>
      </c>
      <c r="G25" s="87">
        <v>48998561.979999997</v>
      </c>
      <c r="H25" s="87">
        <v>57852294</v>
      </c>
      <c r="I25" s="87">
        <v>55421642</v>
      </c>
      <c r="J25" s="87">
        <v>54872993.560000002</v>
      </c>
      <c r="K25" s="87">
        <v>51939030.25</v>
      </c>
      <c r="L25" s="259">
        <v>52623328.75</v>
      </c>
    </row>
    <row r="26" spans="1:12" s="84" customFormat="1" ht="12" customHeight="1" x14ac:dyDescent="0.2">
      <c r="A26" s="191" t="s">
        <v>48</v>
      </c>
      <c r="B26" s="80" t="s">
        <v>155</v>
      </c>
      <c r="C26" s="85"/>
      <c r="D26" s="86" t="s">
        <v>49</v>
      </c>
      <c r="E26" s="81"/>
      <c r="F26" s="87">
        <v>-1578301.33</v>
      </c>
      <c r="G26" s="87">
        <v>-1118586.95</v>
      </c>
      <c r="H26" s="87">
        <v>-2899510.51</v>
      </c>
      <c r="I26" s="87">
        <v>-2180373.94</v>
      </c>
      <c r="J26" s="87">
        <v>-1881231.8</v>
      </c>
      <c r="K26" s="87">
        <v>-804158.9</v>
      </c>
      <c r="L26" s="263">
        <v>-1339432.01</v>
      </c>
    </row>
    <row r="27" spans="1:12" s="79" customFormat="1" ht="12.6" customHeight="1" x14ac:dyDescent="0.2">
      <c r="A27" s="196" t="s">
        <v>59</v>
      </c>
      <c r="B27" s="61" t="s">
        <v>158</v>
      </c>
      <c r="C27" s="61"/>
      <c r="D27" s="82" t="s">
        <v>27</v>
      </c>
      <c r="E27" s="245">
        <v>61</v>
      </c>
      <c r="F27" s="87">
        <v>-70308880.329999998</v>
      </c>
      <c r="G27" s="87">
        <v>-72662052.950000003</v>
      </c>
      <c r="H27" s="87">
        <v>-78870498.989999995</v>
      </c>
      <c r="I27" s="87">
        <f>-36051691.56-68720087.36</f>
        <v>-104771778.92</v>
      </c>
      <c r="J27" s="87">
        <v>-112179558.2</v>
      </c>
      <c r="K27" s="87">
        <v>-141425971.75999999</v>
      </c>
      <c r="L27" s="263">
        <v>-113607037.77</v>
      </c>
    </row>
    <row r="28" spans="1:12" s="79" customFormat="1" ht="12.6" customHeight="1" x14ac:dyDescent="0.2">
      <c r="A28" s="196" t="s">
        <v>60</v>
      </c>
      <c r="B28" s="61" t="s">
        <v>159</v>
      </c>
      <c r="C28" s="61"/>
      <c r="D28" s="85" t="s">
        <v>61</v>
      </c>
      <c r="E28" s="245">
        <v>62</v>
      </c>
      <c r="F28" s="87">
        <v>-38105449.049999997</v>
      </c>
      <c r="G28" s="87">
        <v>-38441595.609999999</v>
      </c>
      <c r="H28" s="87">
        <v>-39307070.719999999</v>
      </c>
      <c r="I28" s="87">
        <f>-18751199.22-18789714.93</f>
        <v>-37540914.149999999</v>
      </c>
      <c r="J28" s="87">
        <v>-45353409.649999999</v>
      </c>
      <c r="K28" s="87">
        <v>-86628229.469999999</v>
      </c>
      <c r="L28" s="263">
        <v>-56308205.509999998</v>
      </c>
    </row>
    <row r="29" spans="1:12" s="79" customFormat="1" ht="15" customHeight="1" x14ac:dyDescent="0.2">
      <c r="A29" s="196" t="s">
        <v>62</v>
      </c>
      <c r="B29" s="61" t="s">
        <v>160</v>
      </c>
      <c r="C29" s="61"/>
      <c r="D29" s="82" t="s">
        <v>27</v>
      </c>
      <c r="E29" s="81" t="s">
        <v>63</v>
      </c>
      <c r="F29" s="87">
        <v>-26110776.039999999</v>
      </c>
      <c r="G29" s="87">
        <v>-26249026.48</v>
      </c>
      <c r="H29" s="87">
        <v>-26510674.59</v>
      </c>
      <c r="I29" s="87">
        <f>-3103267.2-23123667.6</f>
        <v>-26226934.800000001</v>
      </c>
      <c r="J29" s="87">
        <v>-25899272.850000001</v>
      </c>
      <c r="K29" s="87">
        <v>-26307385.539999999</v>
      </c>
      <c r="L29" s="87">
        <v>-27142391.859999999</v>
      </c>
    </row>
    <row r="30" spans="1:12" s="79" customFormat="1" ht="12.6" customHeight="1" x14ac:dyDescent="0.2">
      <c r="A30" s="196" t="s">
        <v>64</v>
      </c>
      <c r="B30" s="61" t="s">
        <v>161</v>
      </c>
      <c r="C30" s="61"/>
      <c r="D30" s="167"/>
      <c r="E30" s="81"/>
      <c r="F30" s="87"/>
      <c r="G30" s="87"/>
      <c r="H30" s="87"/>
      <c r="I30" s="87"/>
      <c r="J30" s="87"/>
      <c r="K30" s="87"/>
      <c r="L30" s="87"/>
    </row>
    <row r="31" spans="1:12" s="79" customFormat="1" ht="12.6" customHeight="1" x14ac:dyDescent="0.2">
      <c r="A31" s="196"/>
      <c r="B31" s="61" t="s">
        <v>162</v>
      </c>
      <c r="C31" s="61"/>
      <c r="D31" s="82" t="s">
        <v>49</v>
      </c>
      <c r="E31" s="81" t="s">
        <v>65</v>
      </c>
      <c r="F31" s="87">
        <v>-995953.41</v>
      </c>
      <c r="G31" s="87">
        <v>-940570.12999999989</v>
      </c>
      <c r="H31" s="87">
        <v>-1224514.68</v>
      </c>
      <c r="I31" s="87">
        <f>-695709.51-136185</f>
        <v>-831894.51</v>
      </c>
      <c r="J31" s="87">
        <v>234528.22</v>
      </c>
      <c r="K31" s="87">
        <v>-1407665.98</v>
      </c>
      <c r="L31" s="87">
        <v>-816578.55</v>
      </c>
    </row>
    <row r="32" spans="1:12" s="79" customFormat="1" ht="12.6" customHeight="1" x14ac:dyDescent="0.2">
      <c r="A32" s="196" t="s">
        <v>66</v>
      </c>
      <c r="B32" s="61" t="s">
        <v>163</v>
      </c>
      <c r="C32" s="61"/>
      <c r="D32" s="82" t="s">
        <v>49</v>
      </c>
      <c r="E32" s="81" t="s">
        <v>67</v>
      </c>
      <c r="F32" s="87">
        <v>-5444298.5</v>
      </c>
      <c r="G32" s="87">
        <v>7210416.7199999997</v>
      </c>
      <c r="H32" s="87">
        <v>4116152.33</v>
      </c>
      <c r="I32" s="87">
        <f>6261511.97</f>
        <v>6261511.9699999997</v>
      </c>
      <c r="J32" s="87">
        <v>-239057.29</v>
      </c>
      <c r="K32" s="87">
        <v>1097768.5900000001</v>
      </c>
      <c r="L32" s="87">
        <v>-13765033.68</v>
      </c>
    </row>
    <row r="33" spans="1:12" s="79" customFormat="1" ht="12.6" customHeight="1" x14ac:dyDescent="0.2">
      <c r="A33" s="196" t="s">
        <v>68</v>
      </c>
      <c r="B33" s="62" t="s">
        <v>164</v>
      </c>
      <c r="C33" s="61"/>
      <c r="D33" s="167"/>
      <c r="E33" s="81"/>
      <c r="F33" s="87">
        <f t="shared" ref="F33:H33" si="7">SUM(F34:F35)</f>
        <v>57913532.939999998</v>
      </c>
      <c r="G33" s="87">
        <f t="shared" si="7"/>
        <v>66674818.839999996</v>
      </c>
      <c r="H33" s="87">
        <f t="shared" si="7"/>
        <v>67632026.25</v>
      </c>
      <c r="I33" s="87">
        <f t="shared" ref="I33" si="8">SUM(I34:I35)</f>
        <v>101859201.28999999</v>
      </c>
      <c r="J33" s="87">
        <f t="shared" ref="J33" si="9">SUM(J34:J35)</f>
        <v>102272700.11</v>
      </c>
      <c r="K33" s="87">
        <f>SUM(K34:K35)</f>
        <v>131076757.13</v>
      </c>
      <c r="L33" s="87">
        <f>SUM(L34:L35)</f>
        <v>89038119.670000002</v>
      </c>
    </row>
    <row r="34" spans="1:12" s="79" customFormat="1" ht="12.6" customHeight="1" x14ac:dyDescent="0.2">
      <c r="A34" s="191" t="s">
        <v>46</v>
      </c>
      <c r="B34" s="61" t="s">
        <v>165</v>
      </c>
      <c r="C34" s="73"/>
      <c r="D34" s="82" t="s">
        <v>47</v>
      </c>
      <c r="E34" s="81" t="s">
        <v>69</v>
      </c>
      <c r="F34" s="87">
        <v>6517659.3100000005</v>
      </c>
      <c r="G34" s="87">
        <v>7351938.0499999998</v>
      </c>
      <c r="H34" s="87">
        <v>7719765.3799999999</v>
      </c>
      <c r="I34" s="87">
        <f>4294267.89+20114068.93</f>
        <v>24408336.82</v>
      </c>
      <c r="J34" s="87">
        <v>27248564.239999998</v>
      </c>
      <c r="K34" s="87">
        <v>39190532.409999996</v>
      </c>
      <c r="L34" s="87">
        <v>9744778.9499999993</v>
      </c>
    </row>
    <row r="35" spans="1:12" s="79" customFormat="1" ht="12.6" customHeight="1" x14ac:dyDescent="0.2">
      <c r="A35" s="191" t="s">
        <v>48</v>
      </c>
      <c r="B35" s="61" t="s">
        <v>185</v>
      </c>
      <c r="C35" s="73"/>
      <c r="D35" s="82" t="s">
        <v>47</v>
      </c>
      <c r="E35" s="245">
        <v>74</v>
      </c>
      <c r="F35" s="87">
        <v>51395873.629999995</v>
      </c>
      <c r="G35" s="87">
        <v>59322880.789999999</v>
      </c>
      <c r="H35" s="87">
        <v>59912260.869999997</v>
      </c>
      <c r="I35" s="87">
        <f>18202845.72+59248018.75</f>
        <v>77450864.469999999</v>
      </c>
      <c r="J35" s="87">
        <v>75024135.870000005</v>
      </c>
      <c r="K35" s="87">
        <v>91886224.719999999</v>
      </c>
      <c r="L35" s="87">
        <v>79293340.719999999</v>
      </c>
    </row>
    <row r="36" spans="1:12" s="79" customFormat="1" ht="12.6" customHeight="1" x14ac:dyDescent="0.2">
      <c r="A36" s="196" t="s">
        <v>70</v>
      </c>
      <c r="B36" s="61" t="s">
        <v>186</v>
      </c>
      <c r="C36" s="73"/>
      <c r="D36" s="82" t="s">
        <v>27</v>
      </c>
      <c r="E36" s="81" t="s">
        <v>71</v>
      </c>
      <c r="F36" s="87">
        <v>-20134882.600000001</v>
      </c>
      <c r="G36" s="87">
        <v>-25345344.530000001</v>
      </c>
      <c r="H36" s="87">
        <v>-24008838.530000001</v>
      </c>
      <c r="I36" s="87">
        <f>-14573374.81-17157064.3</f>
        <v>-31730439.109999999</v>
      </c>
      <c r="J36" s="87">
        <v>-29419844.649999999</v>
      </c>
      <c r="K36" s="87">
        <v>-19035231.969999999</v>
      </c>
      <c r="L36" s="87">
        <v>-14262373.609999999</v>
      </c>
    </row>
    <row r="37" spans="1:12" s="216" customFormat="1" ht="12.6" customHeight="1" x14ac:dyDescent="0.2">
      <c r="A37" s="196" t="s">
        <v>209</v>
      </c>
      <c r="B37" s="213" t="s">
        <v>243</v>
      </c>
      <c r="C37" s="187"/>
      <c r="D37" s="214"/>
      <c r="E37" s="248"/>
      <c r="F37" s="159"/>
      <c r="G37" s="159"/>
      <c r="H37" s="159"/>
      <c r="I37" s="159"/>
      <c r="J37" s="215">
        <f>SUM(J39:J46)</f>
        <v>31807598.690000001</v>
      </c>
      <c r="K37" s="215">
        <f>SUM(K39:K46)</f>
        <v>68984168.11999999</v>
      </c>
      <c r="L37" s="215">
        <f>SUM(L39:L46)</f>
        <v>7157516.54</v>
      </c>
    </row>
    <row r="38" spans="1:12" s="216" customFormat="1" ht="12.6" customHeight="1" x14ac:dyDescent="0.2">
      <c r="A38" s="191" t="s">
        <v>46</v>
      </c>
      <c r="B38" s="213" t="s">
        <v>225</v>
      </c>
      <c r="C38" s="187"/>
      <c r="D38" s="214"/>
      <c r="E38" s="248">
        <v>760</v>
      </c>
      <c r="F38" s="159"/>
      <c r="G38" s="159"/>
      <c r="H38" s="159"/>
      <c r="I38" s="159"/>
      <c r="J38" s="215"/>
      <c r="K38" s="215"/>
      <c r="L38" s="215"/>
    </row>
    <row r="39" spans="1:12" s="216" customFormat="1" ht="12.6" customHeight="1" x14ac:dyDescent="0.2">
      <c r="A39" s="191"/>
      <c r="B39" s="213" t="s">
        <v>226</v>
      </c>
      <c r="C39" s="187"/>
      <c r="D39" s="214" t="s">
        <v>47</v>
      </c>
      <c r="E39" s="248"/>
      <c r="F39" s="159"/>
      <c r="G39" s="159"/>
      <c r="H39" s="159"/>
      <c r="I39" s="159"/>
      <c r="J39" s="215">
        <v>14630.45</v>
      </c>
      <c r="K39" s="215">
        <v>25976.7</v>
      </c>
      <c r="L39" s="259">
        <v>27736.58</v>
      </c>
    </row>
    <row r="40" spans="1:12" s="216" customFormat="1" ht="12.6" customHeight="1" x14ac:dyDescent="0.2">
      <c r="A40" s="191" t="s">
        <v>48</v>
      </c>
      <c r="B40" s="213" t="s">
        <v>227</v>
      </c>
      <c r="C40" s="187"/>
      <c r="D40" s="214" t="s">
        <v>47</v>
      </c>
      <c r="E40" s="248">
        <v>761</v>
      </c>
      <c r="F40" s="159"/>
      <c r="G40" s="159"/>
      <c r="H40" s="159"/>
      <c r="I40" s="159"/>
      <c r="J40" s="215">
        <v>0</v>
      </c>
      <c r="K40" s="215">
        <v>26000</v>
      </c>
      <c r="L40" s="87">
        <v>0</v>
      </c>
    </row>
    <row r="41" spans="1:12" s="216" customFormat="1" ht="12.6" customHeight="1" x14ac:dyDescent="0.2">
      <c r="A41" s="191" t="s">
        <v>210</v>
      </c>
      <c r="B41" s="213" t="s">
        <v>228</v>
      </c>
      <c r="C41" s="187"/>
      <c r="D41" s="214"/>
      <c r="E41" s="248">
        <v>762</v>
      </c>
      <c r="F41" s="159"/>
      <c r="G41" s="159"/>
      <c r="H41" s="159"/>
      <c r="I41" s="159"/>
      <c r="J41" s="215"/>
      <c r="K41" s="215"/>
      <c r="L41" s="87">
        <v>0</v>
      </c>
    </row>
    <row r="42" spans="1:12" s="216" customFormat="1" ht="12.6" customHeight="1" x14ac:dyDescent="0.2">
      <c r="A42" s="191"/>
      <c r="B42" s="213" t="s">
        <v>229</v>
      </c>
      <c r="C42" s="187"/>
      <c r="D42" s="214" t="s">
        <v>47</v>
      </c>
      <c r="E42" s="248"/>
      <c r="F42" s="159"/>
      <c r="G42" s="159"/>
      <c r="H42" s="159"/>
      <c r="I42" s="159"/>
      <c r="J42" s="215">
        <v>0</v>
      </c>
      <c r="K42" s="215">
        <v>23407.45</v>
      </c>
      <c r="L42" s="259">
        <v>0</v>
      </c>
    </row>
    <row r="43" spans="1:12" s="216" customFormat="1" ht="12.6" customHeight="1" x14ac:dyDescent="0.2">
      <c r="A43" s="191" t="s">
        <v>211</v>
      </c>
      <c r="B43" s="213" t="s">
        <v>230</v>
      </c>
      <c r="C43" s="187"/>
      <c r="D43" s="214" t="s">
        <v>47</v>
      </c>
      <c r="E43" s="248">
        <v>763</v>
      </c>
      <c r="F43" s="159"/>
      <c r="G43" s="159"/>
      <c r="H43" s="159"/>
      <c r="I43" s="159"/>
      <c r="J43" s="215">
        <v>395113.28</v>
      </c>
      <c r="K43" s="215">
        <v>137456.66</v>
      </c>
      <c r="L43" s="259">
        <v>123293.56</v>
      </c>
    </row>
    <row r="44" spans="1:12" s="216" customFormat="1" ht="12.6" customHeight="1" x14ac:dyDescent="0.2">
      <c r="A44" s="191" t="s">
        <v>212</v>
      </c>
      <c r="B44" s="213" t="s">
        <v>231</v>
      </c>
      <c r="C44" s="187"/>
      <c r="D44" s="214" t="s">
        <v>47</v>
      </c>
      <c r="E44" s="248">
        <v>764</v>
      </c>
      <c r="F44" s="159"/>
      <c r="G44" s="159"/>
      <c r="H44" s="159"/>
      <c r="I44" s="159"/>
      <c r="J44" s="215">
        <v>458197.67</v>
      </c>
      <c r="K44" s="215">
        <v>352118.1</v>
      </c>
      <c r="L44" s="259">
        <v>579590.81999999995</v>
      </c>
    </row>
    <row r="45" spans="1:12" s="216" customFormat="1" ht="12.6" customHeight="1" x14ac:dyDescent="0.2">
      <c r="A45" s="191" t="s">
        <v>213</v>
      </c>
      <c r="B45" s="213" t="s">
        <v>232</v>
      </c>
      <c r="C45" s="187"/>
      <c r="D45" s="214" t="s">
        <v>47</v>
      </c>
      <c r="E45" s="248">
        <v>765</v>
      </c>
      <c r="F45" s="159"/>
      <c r="G45" s="159"/>
      <c r="H45" s="159"/>
      <c r="I45" s="159"/>
      <c r="J45" s="215">
        <v>125157.03</v>
      </c>
      <c r="K45" s="215">
        <v>0</v>
      </c>
      <c r="L45" s="259">
        <v>0</v>
      </c>
    </row>
    <row r="46" spans="1:12" s="216" customFormat="1" ht="12.6" customHeight="1" x14ac:dyDescent="0.2">
      <c r="A46" s="191" t="s">
        <v>214</v>
      </c>
      <c r="B46" s="213" t="s">
        <v>233</v>
      </c>
      <c r="C46" s="187"/>
      <c r="D46" s="214" t="s">
        <v>47</v>
      </c>
      <c r="E46" s="248">
        <v>766</v>
      </c>
      <c r="F46" s="159"/>
      <c r="G46" s="159"/>
      <c r="H46" s="159"/>
      <c r="I46" s="159"/>
      <c r="J46" s="215">
        <v>30814500.260000002</v>
      </c>
      <c r="K46" s="215">
        <v>68419209.209999993</v>
      </c>
      <c r="L46" s="215">
        <v>6426895.5800000001</v>
      </c>
    </row>
    <row r="47" spans="1:12" s="216" customFormat="1" ht="12.6" customHeight="1" x14ac:dyDescent="0.2">
      <c r="A47" s="190" t="s">
        <v>215</v>
      </c>
      <c r="B47" s="213" t="s">
        <v>242</v>
      </c>
      <c r="C47" s="187"/>
      <c r="D47" s="214"/>
      <c r="E47" s="248"/>
      <c r="F47" s="159"/>
      <c r="G47" s="159"/>
      <c r="H47" s="159"/>
      <c r="I47" s="159"/>
      <c r="J47" s="215">
        <f>SUM(J48:J53)</f>
        <v>-64854548.339999996</v>
      </c>
      <c r="K47" s="215">
        <f>SUM(K48:K53)</f>
        <v>-81873123.049999997</v>
      </c>
      <c r="L47" s="215">
        <f>SUM(L48:L53)</f>
        <v>-27133884.059999999</v>
      </c>
    </row>
    <row r="48" spans="1:12" s="216" customFormat="1" ht="12.6" customHeight="1" x14ac:dyDescent="0.2">
      <c r="A48" s="191" t="s">
        <v>46</v>
      </c>
      <c r="B48" s="213" t="s">
        <v>234</v>
      </c>
      <c r="C48" s="187"/>
      <c r="D48" s="214"/>
      <c r="E48" s="248">
        <v>660</v>
      </c>
      <c r="F48" s="159"/>
      <c r="G48" s="159"/>
      <c r="H48" s="159"/>
      <c r="I48" s="159"/>
      <c r="J48" s="215"/>
      <c r="K48" s="215"/>
      <c r="L48" s="215"/>
    </row>
    <row r="49" spans="1:12" s="216" customFormat="1" ht="12.6" customHeight="1" x14ac:dyDescent="0.2">
      <c r="A49" s="191"/>
      <c r="B49" s="213" t="s">
        <v>235</v>
      </c>
      <c r="C49" s="187"/>
      <c r="D49" s="214" t="s">
        <v>27</v>
      </c>
      <c r="E49" s="248"/>
      <c r="F49" s="159"/>
      <c r="G49" s="159"/>
      <c r="H49" s="159"/>
      <c r="I49" s="159"/>
      <c r="J49" s="215">
        <v>-870369.49</v>
      </c>
      <c r="K49" s="215">
        <v>-769111.18</v>
      </c>
      <c r="L49" s="215">
        <v>-14891.04</v>
      </c>
    </row>
    <row r="50" spans="1:12" s="216" customFormat="1" ht="12.6" customHeight="1" x14ac:dyDescent="0.2">
      <c r="A50" s="191" t="s">
        <v>48</v>
      </c>
      <c r="B50" s="213" t="s">
        <v>236</v>
      </c>
      <c r="C50" s="187"/>
      <c r="D50" s="214" t="s">
        <v>27</v>
      </c>
      <c r="E50" s="248">
        <v>661</v>
      </c>
      <c r="F50" s="159"/>
      <c r="G50" s="159"/>
      <c r="H50" s="159"/>
      <c r="I50" s="159"/>
      <c r="J50" s="215">
        <v>-2626.36</v>
      </c>
      <c r="K50" s="215">
        <v>0</v>
      </c>
      <c r="L50" s="268">
        <v>0</v>
      </c>
    </row>
    <row r="51" spans="1:12" s="216" customFormat="1" ht="12.6" customHeight="1" x14ac:dyDescent="0.2">
      <c r="A51" s="191" t="s">
        <v>210</v>
      </c>
      <c r="B51" s="213" t="s">
        <v>237</v>
      </c>
      <c r="C51" s="187"/>
      <c r="D51" s="214" t="s">
        <v>27</v>
      </c>
      <c r="E51" s="248">
        <v>662</v>
      </c>
      <c r="F51" s="159"/>
      <c r="G51" s="159"/>
      <c r="H51" s="159"/>
      <c r="I51" s="159"/>
      <c r="J51" s="215">
        <v>0</v>
      </c>
      <c r="K51" s="215">
        <v>0</v>
      </c>
      <c r="L51" s="268">
        <v>0</v>
      </c>
    </row>
    <row r="52" spans="1:12" s="216" customFormat="1" ht="12.6" customHeight="1" x14ac:dyDescent="0.2">
      <c r="A52" s="191" t="s">
        <v>211</v>
      </c>
      <c r="B52" s="213" t="s">
        <v>238</v>
      </c>
      <c r="C52" s="187"/>
      <c r="D52" s="214" t="s">
        <v>27</v>
      </c>
      <c r="E52" s="248">
        <v>663</v>
      </c>
      <c r="F52" s="159"/>
      <c r="G52" s="159"/>
      <c r="H52" s="159"/>
      <c r="I52" s="159"/>
      <c r="J52" s="215">
        <v>-21475.77</v>
      </c>
      <c r="K52" s="215">
        <v>-62895.14</v>
      </c>
      <c r="L52" s="263">
        <v>-16892.87</v>
      </c>
    </row>
    <row r="53" spans="1:12" s="216" customFormat="1" ht="12.6" customHeight="1" x14ac:dyDescent="0.2">
      <c r="A53" s="191" t="s">
        <v>212</v>
      </c>
      <c r="B53" s="213" t="s">
        <v>239</v>
      </c>
      <c r="C53" s="187"/>
      <c r="D53" s="214" t="s">
        <v>27</v>
      </c>
      <c r="E53" s="248">
        <v>666</v>
      </c>
      <c r="F53" s="159"/>
      <c r="G53" s="159"/>
      <c r="H53" s="159"/>
      <c r="I53" s="159"/>
      <c r="J53" s="215">
        <v>-63960076.719999999</v>
      </c>
      <c r="K53" s="215">
        <v>-81041116.730000004</v>
      </c>
      <c r="L53" s="262">
        <v>-27102100.149999999</v>
      </c>
    </row>
    <row r="54" spans="1:12" s="79" customFormat="1" ht="12.6" customHeight="1" x14ac:dyDescent="0.2">
      <c r="A54" s="196" t="s">
        <v>73</v>
      </c>
      <c r="B54" s="61" t="s">
        <v>187</v>
      </c>
      <c r="C54" s="73"/>
      <c r="D54" s="167"/>
      <c r="E54" s="81"/>
      <c r="F54" s="87">
        <f>SUM(F55:F56)</f>
        <v>-10387136.48</v>
      </c>
      <c r="G54" s="87">
        <f t="shared" ref="G54:H54" si="10">SUM(G55:G56)</f>
        <v>-10668900.240000002</v>
      </c>
      <c r="H54" s="87">
        <f t="shared" si="10"/>
        <v>-5956598.0399999991</v>
      </c>
      <c r="I54" s="87">
        <f t="shared" ref="I54" si="11">SUM(I55:I56)</f>
        <v>-8797136.2400000002</v>
      </c>
      <c r="J54" s="87">
        <f>SUM(J55:J56)</f>
        <v>-11406724.77</v>
      </c>
      <c r="K54" s="87">
        <f t="shared" ref="K54:L54" si="12">SUM(K55:K56)</f>
        <v>-6917315.7399999984</v>
      </c>
      <c r="L54" s="87">
        <f t="shared" si="12"/>
        <v>-6029059.0300000012</v>
      </c>
    </row>
    <row r="55" spans="1:12" s="79" customFormat="1" ht="12.6" customHeight="1" x14ac:dyDescent="0.2">
      <c r="A55" s="191" t="s">
        <v>46</v>
      </c>
      <c r="B55" s="61" t="s">
        <v>188</v>
      </c>
      <c r="C55" s="73"/>
      <c r="D55" s="82" t="s">
        <v>47</v>
      </c>
      <c r="E55" s="81"/>
      <c r="F55" s="87">
        <v>13285120.699999999</v>
      </c>
      <c r="G55" s="87">
        <v>14667243.09</v>
      </c>
      <c r="H55" s="87">
        <v>19516006.82</v>
      </c>
      <c r="I55" s="87">
        <f>16210849.78</f>
        <v>16210849.779999999</v>
      </c>
      <c r="J55" s="87">
        <v>17561540.050000001</v>
      </c>
      <c r="K55" s="87">
        <v>17918394.710000001</v>
      </c>
      <c r="L55" s="269">
        <v>19674021.469999999</v>
      </c>
    </row>
    <row r="56" spans="1:12" s="79" customFormat="1" ht="12.6" customHeight="1" x14ac:dyDescent="0.2">
      <c r="A56" s="191" t="s">
        <v>48</v>
      </c>
      <c r="B56" s="61" t="s">
        <v>189</v>
      </c>
      <c r="C56" s="73"/>
      <c r="D56" s="82" t="s">
        <v>27</v>
      </c>
      <c r="E56" s="81"/>
      <c r="F56" s="87">
        <v>-23672257.18</v>
      </c>
      <c r="G56" s="87">
        <v>-25336143.330000002</v>
      </c>
      <c r="H56" s="87">
        <v>-25472604.859999999</v>
      </c>
      <c r="I56" s="87">
        <f>-25007986.02</f>
        <v>-25007986.02</v>
      </c>
      <c r="J56" s="87">
        <v>-28968264.82</v>
      </c>
      <c r="K56" s="87">
        <v>-24835710.449999999</v>
      </c>
      <c r="L56" s="262">
        <v>-25703080.5</v>
      </c>
    </row>
    <row r="57" spans="1:12" s="79" customFormat="1" ht="3.9" customHeight="1" x14ac:dyDescent="0.2">
      <c r="A57" s="196"/>
      <c r="B57" s="61"/>
      <c r="C57" s="61"/>
      <c r="D57" s="97"/>
      <c r="E57" s="81"/>
      <c r="F57" s="119"/>
      <c r="G57" s="119"/>
      <c r="H57" s="119"/>
      <c r="I57" s="119"/>
      <c r="J57" s="119"/>
      <c r="K57" s="119"/>
      <c r="L57" s="267"/>
    </row>
    <row r="58" spans="1:12" s="79" customFormat="1" ht="12" customHeight="1" x14ac:dyDescent="0.2">
      <c r="A58" s="197"/>
      <c r="B58" s="91" t="s">
        <v>248</v>
      </c>
      <c r="C58" s="92"/>
      <c r="D58" s="174"/>
      <c r="E58" s="246" t="s">
        <v>72</v>
      </c>
      <c r="F58" s="117">
        <f>F24+F27+F28+F29+F31+F32+F33+F36+F54</f>
        <v>-69174496.949999988</v>
      </c>
      <c r="G58" s="117">
        <f t="shared" ref="G58:H58" si="13">G24+G27+G28+G29+G31+G32+G33+G36+G54</f>
        <v>-52542279.350000009</v>
      </c>
      <c r="H58" s="117">
        <f t="shared" si="13"/>
        <v>-49177233.479999997</v>
      </c>
      <c r="I58" s="117">
        <f>I24+I27+I28+I29+I31+I32+I33+I36+I54</f>
        <v>-48537116.410000004</v>
      </c>
      <c r="J58" s="117">
        <f>J24+J27+J28+J29+J31+J32+J33+J36+J54+J37+J47</f>
        <v>-102045826.97</v>
      </c>
      <c r="K58" s="117">
        <f>K24+K27+K28+K29+K31+K32+K33+K36+K54+K37+K47</f>
        <v>-111301358.31999998</v>
      </c>
      <c r="L58" s="264">
        <f>L24+L27+L28+L29+L31+L32+L33+L36+L54+L37+L47</f>
        <v>-111585031.11999999</v>
      </c>
    </row>
    <row r="59" spans="1:12" s="79" customFormat="1" ht="3.9" customHeight="1" thickBot="1" x14ac:dyDescent="0.3">
      <c r="A59" s="198"/>
      <c r="B59" s="98"/>
      <c r="C59" s="98"/>
      <c r="D59" s="175"/>
      <c r="E59" s="247"/>
      <c r="F59" s="94"/>
      <c r="G59" s="94"/>
      <c r="H59" s="94"/>
      <c r="I59" s="94"/>
      <c r="J59" s="94"/>
      <c r="K59" s="94"/>
      <c r="L59" s="265"/>
    </row>
    <row r="60" spans="1:12" s="79" customFormat="1" ht="15.9" customHeight="1" thickTop="1" x14ac:dyDescent="0.25">
      <c r="A60" s="199"/>
      <c r="B60" s="99"/>
      <c r="C60" s="99"/>
      <c r="D60" s="176"/>
      <c r="E60" s="249"/>
      <c r="F60" s="100"/>
      <c r="G60" s="100"/>
      <c r="H60" s="100"/>
      <c r="I60" s="100"/>
      <c r="J60" s="100"/>
      <c r="K60" s="100"/>
      <c r="L60" s="266"/>
    </row>
    <row r="61" spans="1:12" s="75" customFormat="1" x14ac:dyDescent="0.2">
      <c r="A61" s="188" t="s">
        <v>166</v>
      </c>
      <c r="B61" s="101"/>
      <c r="C61" s="101"/>
      <c r="D61" s="168"/>
      <c r="E61" s="250" t="s">
        <v>0</v>
      </c>
      <c r="F61" s="122"/>
      <c r="G61" s="122"/>
      <c r="H61" s="122"/>
      <c r="I61" s="122"/>
      <c r="J61" s="122"/>
      <c r="K61" s="122"/>
      <c r="L61" s="270"/>
    </row>
    <row r="62" spans="1:12" s="79" customFormat="1" ht="4.2" customHeight="1" x14ac:dyDescent="0.2">
      <c r="A62" s="189"/>
      <c r="B62" s="76"/>
      <c r="C62" s="76"/>
      <c r="D62" s="169"/>
      <c r="E62" s="173"/>
      <c r="F62" s="123"/>
      <c r="G62" s="123"/>
      <c r="H62" s="123"/>
      <c r="I62" s="123"/>
      <c r="J62" s="123"/>
      <c r="K62" s="123"/>
      <c r="L62" s="271"/>
    </row>
    <row r="63" spans="1:12" s="79" customFormat="1" x14ac:dyDescent="0.2">
      <c r="A63" s="196" t="s">
        <v>75</v>
      </c>
      <c r="B63" s="61" t="s">
        <v>167</v>
      </c>
      <c r="C63" s="61"/>
      <c r="D63" s="82" t="s">
        <v>47</v>
      </c>
      <c r="E63" s="82">
        <v>75</v>
      </c>
      <c r="F63" s="87">
        <v>58340335.230000004</v>
      </c>
      <c r="G63" s="87">
        <v>51674165.879999995</v>
      </c>
      <c r="H63" s="87">
        <v>53406528.420000002</v>
      </c>
      <c r="I63" s="87">
        <f>28515436.96+13550255.2</f>
        <v>42065692.159999996</v>
      </c>
      <c r="J63" s="87">
        <v>35694661.630000003</v>
      </c>
      <c r="K63" s="87">
        <v>38565689.979999997</v>
      </c>
      <c r="L63" s="272">
        <v>28881229.670000002</v>
      </c>
    </row>
    <row r="64" spans="1:12" s="79" customFormat="1" x14ac:dyDescent="0.2">
      <c r="A64" s="196" t="s">
        <v>77</v>
      </c>
      <c r="B64" s="61" t="s">
        <v>168</v>
      </c>
      <c r="C64" s="61"/>
      <c r="D64" s="85" t="s">
        <v>61</v>
      </c>
      <c r="E64" s="245">
        <v>65</v>
      </c>
      <c r="F64" s="87">
        <v>-9168167.4199999999</v>
      </c>
      <c r="G64" s="87">
        <v>-9500396.4600000009</v>
      </c>
      <c r="H64" s="87">
        <v>-8044531.0299999993</v>
      </c>
      <c r="I64" s="87">
        <f>-6147491.16-3099461.09</f>
        <v>-9246952.25</v>
      </c>
      <c r="J64" s="87">
        <v>-16183492.24</v>
      </c>
      <c r="K64" s="87">
        <v>-6490287.4500000002</v>
      </c>
      <c r="L64" s="262">
        <v>-7229847.04</v>
      </c>
    </row>
    <row r="65" spans="1:12" s="216" customFormat="1" x14ac:dyDescent="0.2">
      <c r="A65" s="196" t="s">
        <v>216</v>
      </c>
      <c r="B65" s="213" t="s">
        <v>240</v>
      </c>
      <c r="C65" s="213"/>
      <c r="D65" s="214" t="s">
        <v>47</v>
      </c>
      <c r="E65" s="251">
        <v>769</v>
      </c>
      <c r="F65" s="159"/>
      <c r="G65" s="159"/>
      <c r="H65" s="159"/>
      <c r="I65" s="159"/>
      <c r="J65" s="215">
        <v>184364.25</v>
      </c>
      <c r="K65" s="215">
        <v>174922.02</v>
      </c>
      <c r="L65" s="269">
        <v>14370.95</v>
      </c>
    </row>
    <row r="66" spans="1:12" s="216" customFormat="1" x14ac:dyDescent="0.2">
      <c r="A66" s="196" t="s">
        <v>217</v>
      </c>
      <c r="B66" s="213" t="s">
        <v>241</v>
      </c>
      <c r="C66" s="213"/>
      <c r="D66" s="214" t="s">
        <v>27</v>
      </c>
      <c r="E66" s="251">
        <v>669</v>
      </c>
      <c r="F66" s="159"/>
      <c r="G66" s="159"/>
      <c r="H66" s="159"/>
      <c r="I66" s="159"/>
      <c r="J66" s="215">
        <v>-7884.93</v>
      </c>
      <c r="K66" s="215">
        <v>-2969.33</v>
      </c>
      <c r="L66" s="262">
        <v>-6120.29</v>
      </c>
    </row>
    <row r="67" spans="1:12" s="103" customFormat="1" ht="3.9" customHeight="1" x14ac:dyDescent="0.2">
      <c r="A67" s="193"/>
      <c r="B67" s="61"/>
      <c r="C67" s="61"/>
      <c r="D67" s="82"/>
      <c r="E67" s="245"/>
      <c r="F67" s="102"/>
      <c r="G67" s="102"/>
      <c r="H67" s="102"/>
      <c r="I67" s="102"/>
      <c r="J67" s="102"/>
      <c r="K67" s="102"/>
      <c r="L67" s="267"/>
    </row>
    <row r="68" spans="1:12" s="79" customFormat="1" x14ac:dyDescent="0.2">
      <c r="A68" s="200"/>
      <c r="B68" s="91" t="s">
        <v>249</v>
      </c>
      <c r="C68" s="92"/>
      <c r="D68" s="174"/>
      <c r="E68" s="246" t="s">
        <v>74</v>
      </c>
      <c r="F68" s="121">
        <f>SUM(F63:F64)</f>
        <v>49172167.810000002</v>
      </c>
      <c r="G68" s="121">
        <f t="shared" ref="G68:H68" si="14">SUM(G63:G64)</f>
        <v>42173769.419999994</v>
      </c>
      <c r="H68" s="121">
        <f t="shared" si="14"/>
        <v>45361997.390000001</v>
      </c>
      <c r="I68" s="121">
        <f t="shared" ref="I68" si="15">SUM(I63:I64)</f>
        <v>32818739.909999996</v>
      </c>
      <c r="J68" s="121">
        <f>SUM(J63:J66)</f>
        <v>19687648.710000001</v>
      </c>
      <c r="K68" s="121">
        <f>SUM(K63:K66)</f>
        <v>32247355.219999999</v>
      </c>
      <c r="L68" s="264">
        <f>SUM(L63:L66)</f>
        <v>21659633.290000003</v>
      </c>
    </row>
    <row r="69" spans="1:12" s="79" customFormat="1" ht="3.9" customHeight="1" thickBot="1" x14ac:dyDescent="0.25">
      <c r="A69" s="201"/>
      <c r="B69" s="104"/>
      <c r="C69" s="104"/>
      <c r="D69" s="171"/>
      <c r="E69" s="247"/>
      <c r="F69" s="94"/>
      <c r="G69" s="94"/>
      <c r="H69" s="94"/>
      <c r="I69" s="94"/>
      <c r="J69" s="94"/>
      <c r="K69" s="94"/>
      <c r="L69" s="265"/>
    </row>
    <row r="70" spans="1:12" s="79" customFormat="1" ht="15.9" customHeight="1" thickTop="1" x14ac:dyDescent="0.2">
      <c r="A70" s="202"/>
      <c r="B70" s="105"/>
      <c r="C70" s="105"/>
      <c r="D70" s="177"/>
      <c r="E70" s="177"/>
      <c r="F70" s="61"/>
      <c r="G70" s="61"/>
      <c r="H70" s="61"/>
      <c r="I70" s="61"/>
      <c r="J70" s="61"/>
      <c r="K70" s="61"/>
      <c r="L70" s="266"/>
    </row>
    <row r="71" spans="1:12" ht="12" customHeight="1" x14ac:dyDescent="0.2">
      <c r="A71" s="188" t="s">
        <v>244</v>
      </c>
      <c r="B71" s="95"/>
      <c r="C71" s="95"/>
      <c r="D71" s="172"/>
      <c r="E71" s="172"/>
      <c r="F71" s="95"/>
      <c r="G71" s="95"/>
      <c r="H71" s="95"/>
      <c r="I71" s="95"/>
      <c r="J71" s="122"/>
      <c r="K71" s="122"/>
      <c r="L71" s="273"/>
    </row>
    <row r="72" spans="1:12" ht="3.6" customHeight="1" x14ac:dyDescent="0.2">
      <c r="A72" s="193"/>
      <c r="B72" s="96"/>
      <c r="C72" s="96"/>
      <c r="D72" s="173"/>
      <c r="E72" s="173"/>
      <c r="F72" s="96"/>
      <c r="G72" s="96"/>
      <c r="H72" s="96"/>
      <c r="I72" s="96"/>
      <c r="J72" s="123"/>
      <c r="K72" s="123"/>
      <c r="L72" s="274"/>
    </row>
    <row r="73" spans="1:12" s="79" customFormat="1" x14ac:dyDescent="0.2">
      <c r="A73" s="196" t="s">
        <v>75</v>
      </c>
      <c r="B73" s="61" t="s">
        <v>169</v>
      </c>
      <c r="C73" s="61"/>
      <c r="D73" s="97"/>
      <c r="E73" s="81"/>
      <c r="F73" s="106">
        <f>SUM(F75:F75)</f>
        <v>39185010.649999999</v>
      </c>
      <c r="G73" s="106">
        <f t="shared" ref="G73:H73" si="16">SUM(G75:G75)</f>
        <v>22962635.02</v>
      </c>
      <c r="H73" s="106">
        <f t="shared" si="16"/>
        <v>6808455.4699999997</v>
      </c>
      <c r="I73" s="106">
        <f t="shared" ref="I73" si="17">SUM(I75:I75)</f>
        <v>32857045.289999999</v>
      </c>
      <c r="J73" s="160"/>
      <c r="K73" s="160"/>
      <c r="L73" s="159"/>
    </row>
    <row r="74" spans="1:12" s="79" customFormat="1" x14ac:dyDescent="0.2">
      <c r="A74" s="196"/>
      <c r="B74" s="62" t="s">
        <v>252</v>
      </c>
      <c r="C74" s="61"/>
      <c r="D74" s="82" t="s">
        <v>47</v>
      </c>
      <c r="E74" s="81"/>
      <c r="F74" s="90"/>
      <c r="G74" s="90"/>
      <c r="H74" s="90"/>
      <c r="I74" s="90"/>
      <c r="J74" s="161"/>
      <c r="K74" s="161"/>
      <c r="L74" s="159"/>
    </row>
    <row r="75" spans="1:12" s="79" customFormat="1" x14ac:dyDescent="0.2">
      <c r="A75" s="196"/>
      <c r="B75" s="62" t="s">
        <v>170</v>
      </c>
      <c r="C75" s="61"/>
      <c r="D75" s="82" t="s">
        <v>47</v>
      </c>
      <c r="E75" s="81" t="s">
        <v>76</v>
      </c>
      <c r="F75" s="87">
        <v>39185010.649999999</v>
      </c>
      <c r="G75" s="87">
        <v>22962635.02</v>
      </c>
      <c r="H75" s="87">
        <v>6808455.4699999997</v>
      </c>
      <c r="I75" s="87">
        <f>26591099.96+6265945.33</f>
        <v>32857045.289999999</v>
      </c>
      <c r="J75" s="162"/>
      <c r="K75" s="162"/>
      <c r="L75" s="162"/>
    </row>
    <row r="76" spans="1:12" s="79" customFormat="1" x14ac:dyDescent="0.2">
      <c r="A76" s="196" t="s">
        <v>77</v>
      </c>
      <c r="B76" s="61" t="s">
        <v>171</v>
      </c>
      <c r="C76" s="61"/>
      <c r="D76" s="82" t="s">
        <v>27</v>
      </c>
      <c r="E76" s="245">
        <v>66</v>
      </c>
      <c r="F76" s="87">
        <v>-38731890.839999996</v>
      </c>
      <c r="G76" s="87">
        <v>-17180800.23</v>
      </c>
      <c r="H76" s="87">
        <v>-16796018.559999999</v>
      </c>
      <c r="I76" s="87">
        <f>-24850876.92-10519875.61</f>
        <v>-35370752.530000001</v>
      </c>
      <c r="J76" s="159"/>
      <c r="K76" s="159"/>
      <c r="L76" s="159"/>
    </row>
    <row r="77" spans="1:12" s="103" customFormat="1" ht="3.9" customHeight="1" x14ac:dyDescent="0.2">
      <c r="A77" s="193"/>
      <c r="B77" s="96"/>
      <c r="C77" s="96"/>
      <c r="D77" s="123"/>
      <c r="E77" s="252"/>
      <c r="F77" s="102"/>
      <c r="G77" s="102"/>
      <c r="H77" s="102"/>
      <c r="I77" s="102"/>
      <c r="J77" s="163"/>
      <c r="K77" s="163"/>
      <c r="L77" s="275"/>
    </row>
    <row r="78" spans="1:12" s="79" customFormat="1" x14ac:dyDescent="0.2">
      <c r="A78" s="194"/>
      <c r="B78" s="124" t="s">
        <v>172</v>
      </c>
      <c r="C78" s="105"/>
      <c r="D78" s="177"/>
      <c r="E78" s="253" t="s">
        <v>78</v>
      </c>
      <c r="F78" s="117">
        <f>F73+F76</f>
        <v>453119.81000000238</v>
      </c>
      <c r="G78" s="117">
        <f>G73+G76</f>
        <v>5781834.7899999991</v>
      </c>
      <c r="H78" s="117">
        <f>H73+H76</f>
        <v>-9987563.0899999999</v>
      </c>
      <c r="I78" s="117">
        <f t="shared" ref="I78" si="18">I73+I76</f>
        <v>-2513707.2400000021</v>
      </c>
      <c r="J78" s="164"/>
      <c r="K78" s="164"/>
      <c r="L78" s="276"/>
    </row>
    <row r="79" spans="1:12" s="79" customFormat="1" ht="3" customHeight="1" thickBot="1" x14ac:dyDescent="0.25">
      <c r="A79" s="203"/>
      <c r="B79" s="104"/>
      <c r="C79" s="104"/>
      <c r="D79" s="171"/>
      <c r="E79" s="247"/>
      <c r="F79" s="94"/>
      <c r="G79" s="94"/>
      <c r="H79" s="94"/>
      <c r="I79" s="94"/>
      <c r="J79" s="165"/>
      <c r="K79" s="165"/>
      <c r="L79" s="277"/>
    </row>
    <row r="80" spans="1:12" s="79" customFormat="1" ht="15.9" customHeight="1" thickTop="1" x14ac:dyDescent="0.2">
      <c r="A80" s="204"/>
      <c r="B80" s="105"/>
      <c r="C80" s="105"/>
      <c r="D80" s="177"/>
      <c r="E80" s="177"/>
      <c r="F80" s="61"/>
      <c r="G80" s="61"/>
      <c r="H80" s="61"/>
      <c r="I80" s="61"/>
      <c r="J80" s="61"/>
      <c r="K80" s="61"/>
      <c r="L80" s="266"/>
    </row>
    <row r="81" spans="1:12" x14ac:dyDescent="0.2">
      <c r="A81" s="188" t="s">
        <v>250</v>
      </c>
      <c r="B81" s="95"/>
      <c r="C81" s="95"/>
      <c r="D81" s="172"/>
      <c r="E81" s="172"/>
      <c r="F81" s="95"/>
      <c r="G81" s="95"/>
      <c r="H81" s="95"/>
      <c r="I81" s="95"/>
      <c r="J81" s="122"/>
      <c r="K81" s="122"/>
      <c r="L81" s="273"/>
    </row>
    <row r="82" spans="1:12" ht="3" customHeight="1" x14ac:dyDescent="0.2">
      <c r="A82" s="193"/>
      <c r="B82" s="96"/>
      <c r="C82" s="96"/>
      <c r="D82" s="173"/>
      <c r="E82" s="173"/>
      <c r="F82" s="96"/>
      <c r="G82" s="96"/>
      <c r="H82" s="96"/>
      <c r="I82" s="96"/>
      <c r="J82" s="123"/>
      <c r="K82" s="123"/>
      <c r="L82" s="271"/>
    </row>
    <row r="83" spans="1:12" s="79" customFormat="1" x14ac:dyDescent="0.2">
      <c r="A83" s="205"/>
      <c r="B83" s="80" t="s">
        <v>154</v>
      </c>
      <c r="C83" s="61"/>
      <c r="D83" s="97"/>
      <c r="E83" s="254"/>
      <c r="F83" s="120">
        <f>+F19</f>
        <v>85259864.179999888</v>
      </c>
      <c r="G83" s="120">
        <f>+G19</f>
        <v>69866025.120000035</v>
      </c>
      <c r="H83" s="120">
        <f>+H19</f>
        <v>33782645.24999997</v>
      </c>
      <c r="I83" s="87">
        <f>+I19</f>
        <v>58760906.729999915</v>
      </c>
      <c r="J83" s="87">
        <f>+J19</f>
        <v>53563246.340000167</v>
      </c>
      <c r="K83" s="87">
        <f t="shared" ref="K83:L83" si="19">+K19</f>
        <v>106296029.77999973</v>
      </c>
      <c r="L83" s="83">
        <f t="shared" si="19"/>
        <v>224030440.1999999</v>
      </c>
    </row>
    <row r="84" spans="1:12" s="79" customFormat="1" x14ac:dyDescent="0.2">
      <c r="A84" s="206"/>
      <c r="B84" s="80" t="s">
        <v>248</v>
      </c>
      <c r="C84" s="61"/>
      <c r="D84" s="97"/>
      <c r="E84" s="254"/>
      <c r="F84" s="106">
        <f>+F58</f>
        <v>-69174496.949999988</v>
      </c>
      <c r="G84" s="106">
        <f>+G58</f>
        <v>-52542279.350000009</v>
      </c>
      <c r="H84" s="106">
        <f>+H58</f>
        <v>-49177233.479999997</v>
      </c>
      <c r="I84" s="87">
        <f t="shared" ref="I84" si="20">+I58</f>
        <v>-48537116.410000004</v>
      </c>
      <c r="J84" s="87">
        <f>+J58</f>
        <v>-102045826.97</v>
      </c>
      <c r="K84" s="87">
        <f t="shared" ref="K84:L84" si="21">+K58</f>
        <v>-111301358.31999998</v>
      </c>
      <c r="L84" s="87">
        <f t="shared" si="21"/>
        <v>-111585031.11999999</v>
      </c>
    </row>
    <row r="85" spans="1:12" s="79" customFormat="1" x14ac:dyDescent="0.2">
      <c r="A85" s="206"/>
      <c r="B85" s="80" t="s">
        <v>249</v>
      </c>
      <c r="C85" s="61"/>
      <c r="D85" s="97"/>
      <c r="E85" s="254"/>
      <c r="F85" s="106">
        <f>+F68</f>
        <v>49172167.810000002</v>
      </c>
      <c r="G85" s="106">
        <f>+G68</f>
        <v>42173769.419999994</v>
      </c>
      <c r="H85" s="106">
        <f>+H68</f>
        <v>45361997.390000001</v>
      </c>
      <c r="I85" s="87">
        <f t="shared" ref="I85" si="22">+I68</f>
        <v>32818739.909999996</v>
      </c>
      <c r="J85" s="87">
        <f>+J68</f>
        <v>19687648.710000001</v>
      </c>
      <c r="K85" s="87">
        <f t="shared" ref="K85:L85" si="23">+K68</f>
        <v>32247355.219999999</v>
      </c>
      <c r="L85" s="87">
        <f t="shared" si="23"/>
        <v>21659633.290000003</v>
      </c>
    </row>
    <row r="86" spans="1:12" s="79" customFormat="1" x14ac:dyDescent="0.2">
      <c r="A86" s="206"/>
      <c r="B86" s="80" t="s">
        <v>247</v>
      </c>
      <c r="C86" s="61"/>
      <c r="D86" s="97"/>
      <c r="E86" s="254"/>
      <c r="F86" s="106">
        <f>+F78</f>
        <v>453119.81000000238</v>
      </c>
      <c r="G86" s="106">
        <f t="shared" ref="G86:I86" si="24">+G78</f>
        <v>5781834.7899999991</v>
      </c>
      <c r="H86" s="106">
        <f t="shared" si="24"/>
        <v>-9987563.0899999999</v>
      </c>
      <c r="I86" s="87">
        <f t="shared" si="24"/>
        <v>-2513707.2400000021</v>
      </c>
      <c r="J86" s="159"/>
      <c r="K86" s="159"/>
      <c r="L86" s="159"/>
    </row>
    <row r="87" spans="1:12" s="103" customFormat="1" ht="6" customHeight="1" x14ac:dyDescent="0.2">
      <c r="A87" s="193"/>
      <c r="B87" s="107"/>
      <c r="C87" s="96"/>
      <c r="D87" s="173"/>
      <c r="E87" s="255"/>
      <c r="F87" s="102"/>
      <c r="G87" s="102"/>
      <c r="H87" s="102"/>
      <c r="I87" s="102"/>
      <c r="J87" s="163"/>
      <c r="K87" s="163"/>
      <c r="L87" s="275"/>
    </row>
    <row r="88" spans="1:12" s="103" customFormat="1" ht="15" customHeight="1" x14ac:dyDescent="0.2">
      <c r="A88" s="207" t="s">
        <v>218</v>
      </c>
      <c r="B88" s="108" t="s">
        <v>181</v>
      </c>
      <c r="C88" s="92"/>
      <c r="D88" s="174"/>
      <c r="E88" s="246"/>
      <c r="F88" s="121">
        <f>SUM(F83:F86)</f>
        <v>65710654.849999905</v>
      </c>
      <c r="G88" s="121">
        <f t="shared" ref="G88:H88" si="25">SUM(G83:G86)</f>
        <v>65279349.980000019</v>
      </c>
      <c r="H88" s="121">
        <f t="shared" si="25"/>
        <v>19979846.069999974</v>
      </c>
      <c r="I88" s="121">
        <f>SUM(I83:I86)</f>
        <v>40528822.989999905</v>
      </c>
      <c r="J88" s="121">
        <f>SUM(J83:J86)</f>
        <v>-28794931.91999983</v>
      </c>
      <c r="K88" s="121">
        <f t="shared" ref="K88:L88" si="26">SUM(K83:K86)</f>
        <v>27242026.679999754</v>
      </c>
      <c r="L88" s="264">
        <f t="shared" si="26"/>
        <v>134105042.36999992</v>
      </c>
    </row>
    <row r="89" spans="1:12" s="79" customFormat="1" ht="3.9" customHeight="1" thickBot="1" x14ac:dyDescent="0.25">
      <c r="A89" s="203"/>
      <c r="B89" s="104"/>
      <c r="C89" s="104"/>
      <c r="D89" s="171"/>
      <c r="E89" s="247"/>
      <c r="F89" s="94"/>
      <c r="G89" s="94"/>
      <c r="H89" s="94"/>
      <c r="I89" s="94"/>
      <c r="J89" s="94"/>
      <c r="K89" s="94"/>
      <c r="L89" s="265"/>
    </row>
    <row r="90" spans="1:12" s="79" customFormat="1" ht="15.9" customHeight="1" thickTop="1" x14ac:dyDescent="0.2">
      <c r="A90" s="204"/>
      <c r="B90" s="105"/>
      <c r="C90" s="105"/>
      <c r="D90" s="177"/>
      <c r="E90" s="177"/>
      <c r="F90" s="61"/>
      <c r="G90" s="61"/>
      <c r="H90" s="61"/>
      <c r="I90" s="61"/>
      <c r="J90" s="61"/>
      <c r="K90" s="61"/>
      <c r="L90" s="266"/>
    </row>
    <row r="91" spans="1:12" x14ac:dyDescent="0.2">
      <c r="A91" s="208" t="s">
        <v>173</v>
      </c>
      <c r="B91" s="109"/>
      <c r="C91" s="109"/>
      <c r="D91" s="178"/>
      <c r="E91" s="178"/>
      <c r="F91" s="109"/>
      <c r="G91" s="109"/>
      <c r="H91" s="109"/>
      <c r="I91" s="109"/>
      <c r="J91" s="122"/>
      <c r="K91" s="122"/>
      <c r="L91" s="273"/>
    </row>
    <row r="92" spans="1:12" ht="3" customHeight="1" x14ac:dyDescent="0.2">
      <c r="A92" s="193"/>
      <c r="B92" s="96"/>
      <c r="C92" s="96"/>
      <c r="D92" s="173"/>
      <c r="E92" s="173"/>
      <c r="F92" s="96"/>
      <c r="G92" s="96"/>
      <c r="H92" s="96"/>
      <c r="I92" s="96"/>
      <c r="J92" s="123"/>
      <c r="K92" s="123"/>
      <c r="L92" s="271"/>
    </row>
    <row r="93" spans="1:12" s="79" customFormat="1" x14ac:dyDescent="0.2">
      <c r="A93" s="209" t="s">
        <v>174</v>
      </c>
      <c r="C93" s="61"/>
      <c r="D93" s="179"/>
      <c r="E93" s="179"/>
      <c r="F93" s="90"/>
      <c r="G93" s="90"/>
      <c r="H93" s="90"/>
      <c r="I93" s="90"/>
      <c r="J93" s="90"/>
      <c r="K93" s="90"/>
      <c r="L93" s="83"/>
    </row>
    <row r="94" spans="1:12" s="79" customFormat="1" x14ac:dyDescent="0.2">
      <c r="A94" s="196" t="s">
        <v>182</v>
      </c>
      <c r="C94" s="61"/>
      <c r="D94" s="179"/>
      <c r="E94" s="179"/>
      <c r="F94" s="106">
        <v>1536651560.0799999</v>
      </c>
      <c r="G94" s="106">
        <v>1605129704.22</v>
      </c>
      <c r="H94" s="106">
        <v>1694568129.28</v>
      </c>
      <c r="I94" s="87">
        <f>803492742.79+881178883.21</f>
        <v>1684671626</v>
      </c>
      <c r="J94" s="87">
        <v>1703211843.6900001</v>
      </c>
      <c r="K94" s="87">
        <v>1656347705.5599999</v>
      </c>
      <c r="L94" s="259">
        <v>1671041419.2</v>
      </c>
    </row>
    <row r="95" spans="1:12" s="79" customFormat="1" x14ac:dyDescent="0.2">
      <c r="A95" s="210" t="s">
        <v>251</v>
      </c>
      <c r="C95" s="61"/>
      <c r="D95" s="179"/>
      <c r="E95" s="179"/>
      <c r="F95" s="106">
        <f>+F88</f>
        <v>65710654.849999905</v>
      </c>
      <c r="G95" s="106">
        <f>+G88</f>
        <v>65279349.980000019</v>
      </c>
      <c r="H95" s="106">
        <f>+H88</f>
        <v>19979846.069999974</v>
      </c>
      <c r="I95" s="87">
        <f t="shared" ref="I95:L95" si="27">+I88</f>
        <v>40528822.989999905</v>
      </c>
      <c r="J95" s="87">
        <f t="shared" si="27"/>
        <v>-28794931.91999983</v>
      </c>
      <c r="K95" s="87">
        <f t="shared" si="27"/>
        <v>27242026.679999754</v>
      </c>
      <c r="L95" s="87">
        <f t="shared" si="27"/>
        <v>134105042.36999992</v>
      </c>
    </row>
    <row r="96" spans="1:12" s="79" customFormat="1" x14ac:dyDescent="0.2">
      <c r="A96" s="210" t="s">
        <v>176</v>
      </c>
      <c r="C96" s="73"/>
      <c r="D96" s="230" t="s">
        <v>49</v>
      </c>
      <c r="E96" s="179" t="s">
        <v>79</v>
      </c>
      <c r="F96" s="106"/>
      <c r="G96" s="106"/>
      <c r="H96" s="106"/>
      <c r="I96" s="106"/>
      <c r="J96" s="106"/>
      <c r="K96" s="106"/>
      <c r="L96" s="87"/>
    </row>
    <row r="97" spans="1:12" s="79" customFormat="1" ht="13.2" customHeight="1" x14ac:dyDescent="0.2">
      <c r="A97" s="210" t="s">
        <v>204</v>
      </c>
      <c r="C97" s="73"/>
      <c r="D97" s="179"/>
      <c r="E97" s="179"/>
      <c r="F97" s="106"/>
      <c r="G97" s="106"/>
      <c r="H97" s="106"/>
      <c r="I97" s="106"/>
      <c r="J97" s="106"/>
      <c r="K97" s="106"/>
      <c r="L97" s="87"/>
    </row>
    <row r="98" spans="1:12" s="79" customFormat="1" ht="13.2" customHeight="1" x14ac:dyDescent="0.2">
      <c r="A98" s="210" t="s">
        <v>184</v>
      </c>
      <c r="C98" s="73"/>
      <c r="D98" s="179" t="s">
        <v>47</v>
      </c>
      <c r="E98" s="179"/>
      <c r="F98" s="106">
        <v>34794542.490000002</v>
      </c>
      <c r="G98" s="106">
        <v>53695792.109999999</v>
      </c>
      <c r="H98" s="106">
        <v>17838493.710000001</v>
      </c>
      <c r="I98" s="87">
        <f>17306209.11</f>
        <v>17306209.109999999</v>
      </c>
      <c r="J98" s="87">
        <v>24486179.539999999</v>
      </c>
      <c r="K98" s="87">
        <v>27790411.73</v>
      </c>
      <c r="L98" s="259">
        <v>37707421.299999997</v>
      </c>
    </row>
    <row r="99" spans="1:12" s="79" customFormat="1" x14ac:dyDescent="0.2">
      <c r="A99" s="210" t="s">
        <v>205</v>
      </c>
      <c r="C99" s="73"/>
      <c r="D99" s="179"/>
      <c r="E99" s="179"/>
      <c r="F99" s="106"/>
      <c r="G99" s="106"/>
      <c r="H99" s="106"/>
      <c r="I99" s="106"/>
      <c r="J99" s="106"/>
      <c r="K99" s="106"/>
      <c r="L99" s="87"/>
    </row>
    <row r="100" spans="1:12" s="79" customFormat="1" x14ac:dyDescent="0.2">
      <c r="A100" s="210" t="s">
        <v>184</v>
      </c>
      <c r="C100" s="73"/>
      <c r="D100" s="179" t="s">
        <v>27</v>
      </c>
      <c r="E100" s="179"/>
      <c r="F100" s="106">
        <v>-32027053.199999999</v>
      </c>
      <c r="G100" s="106">
        <v>-29536717.030000001</v>
      </c>
      <c r="H100" s="106">
        <v>-47714843.060000002</v>
      </c>
      <c r="I100" s="87">
        <f>-45526742.41</f>
        <v>-45526742.409999996</v>
      </c>
      <c r="J100" s="87">
        <v>-42555385.740000002</v>
      </c>
      <c r="K100" s="87">
        <v>-41938724.979999997</v>
      </c>
      <c r="L100" s="263">
        <v>-27353066.780000001</v>
      </c>
    </row>
    <row r="101" spans="1:12" s="103" customFormat="1" ht="3.9" customHeight="1" x14ac:dyDescent="0.2">
      <c r="A101" s="196"/>
      <c r="B101" s="76"/>
      <c r="C101" s="61"/>
      <c r="D101" s="179"/>
      <c r="E101" s="179"/>
      <c r="F101" s="90"/>
      <c r="G101" s="90"/>
      <c r="H101" s="90"/>
      <c r="I101" s="90"/>
      <c r="J101" s="90"/>
      <c r="K101" s="90"/>
      <c r="L101" s="267"/>
    </row>
    <row r="102" spans="1:12" s="79" customFormat="1" ht="12.75" customHeight="1" x14ac:dyDescent="0.2">
      <c r="A102" s="211" t="s">
        <v>175</v>
      </c>
      <c r="C102" s="110"/>
      <c r="D102" s="180"/>
      <c r="E102" s="256"/>
      <c r="F102" s="111"/>
      <c r="G102" s="111"/>
      <c r="H102" s="111"/>
      <c r="I102" s="111"/>
      <c r="J102" s="111"/>
      <c r="K102" s="111"/>
      <c r="L102" s="83"/>
    </row>
    <row r="103" spans="1:12" s="79" customFormat="1" ht="12.75" customHeight="1" x14ac:dyDescent="0.2">
      <c r="A103" s="207" t="s">
        <v>183</v>
      </c>
      <c r="C103" s="112"/>
      <c r="D103" s="181" t="s">
        <v>61</v>
      </c>
      <c r="E103" s="257" t="s">
        <v>80</v>
      </c>
      <c r="F103" s="117">
        <f>SUM(F94:F100)</f>
        <v>1605129704.2199998</v>
      </c>
      <c r="G103" s="117">
        <f t="shared" ref="G103:H103" si="28">SUM(G94:G100)</f>
        <v>1694568129.28</v>
      </c>
      <c r="H103" s="117">
        <f t="shared" si="28"/>
        <v>1684671626</v>
      </c>
      <c r="I103" s="117">
        <f t="shared" ref="I103" si="29">SUM(I94:I100)</f>
        <v>1696979915.6899998</v>
      </c>
      <c r="J103" s="117">
        <f>SUM(J94:J100)</f>
        <v>1656347705.5700002</v>
      </c>
      <c r="K103" s="117">
        <f t="shared" ref="K103:L103" si="30">SUM(K94:K100)</f>
        <v>1669441418.9899998</v>
      </c>
      <c r="L103" s="278">
        <f t="shared" si="30"/>
        <v>1815500816.0899999</v>
      </c>
    </row>
    <row r="104" spans="1:12" s="79" customFormat="1" ht="3.9" customHeight="1" thickBot="1" x14ac:dyDescent="0.3">
      <c r="A104" s="212"/>
      <c r="B104" s="113"/>
      <c r="C104" s="114"/>
      <c r="D104" s="182"/>
      <c r="E104" s="258"/>
      <c r="F104" s="115"/>
      <c r="G104" s="116"/>
      <c r="H104" s="116"/>
      <c r="I104" s="116"/>
      <c r="J104" s="116"/>
      <c r="K104" s="238"/>
      <c r="L104" s="265"/>
    </row>
    <row r="105" spans="1:12" ht="10.8" thickTop="1" x14ac:dyDescent="0.2"/>
  </sheetData>
  <mergeCells count="1">
    <mergeCell ref="A3:H3"/>
  </mergeCells>
  <pageMargins left="0.47244094488188981" right="0" top="0.78740157480314965" bottom="0.47244094488188981" header="0.31496062992125984" footer="0.11811023622047245"/>
  <pageSetup paperSize="9" orientation="portrait" r:id="rId1"/>
  <headerFooter alignWithMargins="0">
    <oddFooter>&amp;R&amp;8&amp;Z&amp;F
&amp;P/&amp;N</oddFooter>
  </headerFooter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Bilan - actif</vt:lpstr>
      <vt:lpstr>Bilan -passif</vt:lpstr>
      <vt:lpstr>Compte de résultats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rvs</cp:lastModifiedBy>
  <cp:lastPrinted>2020-01-29T17:27:36Z</cp:lastPrinted>
  <dcterms:created xsi:type="dcterms:W3CDTF">2018-03-02T13:01:40Z</dcterms:created>
  <dcterms:modified xsi:type="dcterms:W3CDTF">2021-11-30T15:48:10Z</dcterms:modified>
</cp:coreProperties>
</file>